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runo\2024-2025\"/>
    </mc:Choice>
  </mc:AlternateContent>
  <bookViews>
    <workbookView xWindow="240" yWindow="90" windowWidth="18795" windowHeight="11250" tabRatio="448" firstSheet="7" activeTab="12"/>
  </bookViews>
  <sheets>
    <sheet name="tarifs 2012" sheetId="7" r:id="rId1"/>
    <sheet name="tarifs 2013" sheetId="8" r:id="rId2"/>
    <sheet name="tarifs 2016" sheetId="9" r:id="rId3"/>
    <sheet name="tarifs 2017" sheetId="10" r:id="rId4"/>
    <sheet name="tarifs 2018" sheetId="16" r:id="rId5"/>
    <sheet name="tarifs 2019" sheetId="17" r:id="rId6"/>
    <sheet name="tarifs 2020 (2)" sheetId="18" r:id="rId7"/>
    <sheet name="tarifs 2021 (3)" sheetId="19" r:id="rId8"/>
    <sheet name="tarifs 2022" sheetId="20" r:id="rId9"/>
    <sheet name="tarifs 2023" sheetId="21" r:id="rId10"/>
    <sheet name="tarifs 2023 corrigés" sheetId="22" r:id="rId11"/>
    <sheet name="tarifs 2023-2024" sheetId="23" r:id="rId12"/>
    <sheet name="tarifs 2024-2025" sheetId="24" r:id="rId13"/>
  </sheets>
  <definedNames>
    <definedName name="_xlnm.Print_Area" localSheetId="11">'tarifs 2023-2024'!$A$2:$L$94</definedName>
    <definedName name="_xlnm.Print_Area" localSheetId="12">'tarifs 2024-2025'!$A$2:$M$94</definedName>
  </definedNames>
  <calcPr calcId="162913"/>
</workbook>
</file>

<file path=xl/calcChain.xml><?xml version="1.0" encoding="utf-8"?>
<calcChain xmlns="http://schemas.openxmlformats.org/spreadsheetml/2006/main">
  <c r="H48" i="24" l="1"/>
  <c r="I48" i="24"/>
  <c r="J48" i="24"/>
  <c r="K48" i="24"/>
  <c r="L48" i="24"/>
  <c r="M48" i="24"/>
  <c r="H39" i="24"/>
  <c r="I39" i="24"/>
  <c r="J39" i="24"/>
  <c r="K39" i="24"/>
  <c r="L39" i="24"/>
  <c r="M39" i="24"/>
  <c r="H29" i="24"/>
  <c r="H28" i="24"/>
  <c r="M14" i="24"/>
  <c r="G48" i="24"/>
  <c r="G45" i="24"/>
  <c r="F48" i="24"/>
  <c r="E48" i="24"/>
  <c r="D48" i="24"/>
  <c r="C48" i="24"/>
  <c r="G39" i="24"/>
  <c r="F39" i="24"/>
  <c r="E39" i="24"/>
  <c r="D39" i="24"/>
  <c r="C39" i="24"/>
  <c r="C36" i="24"/>
  <c r="C32" i="24"/>
  <c r="M28" i="24"/>
  <c r="L28" i="24"/>
  <c r="K28" i="24"/>
  <c r="J28" i="24"/>
  <c r="I28" i="24"/>
  <c r="G28" i="24"/>
  <c r="F28" i="24"/>
  <c r="E28" i="24"/>
  <c r="D28" i="24"/>
  <c r="C28" i="24"/>
  <c r="G20" i="24"/>
  <c r="F20" i="24"/>
  <c r="E20" i="24"/>
  <c r="D20" i="24"/>
  <c r="C20" i="24"/>
  <c r="C31" i="24"/>
  <c r="H43" i="24" l="1"/>
  <c r="I43" i="24"/>
  <c r="H14" i="24"/>
  <c r="I32" i="24" l="1"/>
  <c r="J32" i="24"/>
  <c r="I30" i="24"/>
  <c r="I36" i="24"/>
  <c r="H37" i="24"/>
  <c r="H36" i="24"/>
  <c r="I41" i="24"/>
  <c r="I50" i="24"/>
  <c r="I45" i="24"/>
  <c r="I46" i="24"/>
  <c r="I47" i="24"/>
  <c r="I37" i="24"/>
  <c r="I38" i="24"/>
  <c r="H24" i="24"/>
  <c r="I24" i="24"/>
  <c r="H6" i="24"/>
  <c r="I29" i="24"/>
  <c r="I25" i="24"/>
  <c r="I26" i="24"/>
  <c r="H11" i="24"/>
  <c r="H10" i="24"/>
  <c r="H9" i="24"/>
  <c r="H12" i="24"/>
  <c r="J14" i="24"/>
  <c r="I21" i="24"/>
  <c r="I19" i="24"/>
  <c r="J19" i="24"/>
  <c r="I12" i="24"/>
  <c r="I11" i="24"/>
  <c r="I10" i="24"/>
  <c r="I9" i="24"/>
  <c r="N10" i="24"/>
  <c r="G11" i="24"/>
  <c r="G10" i="24"/>
  <c r="F11" i="24"/>
  <c r="F10" i="24"/>
  <c r="E11" i="24"/>
  <c r="E10" i="24"/>
  <c r="D11" i="24"/>
  <c r="D10" i="24"/>
  <c r="C11" i="24"/>
  <c r="C10" i="24"/>
  <c r="I6" i="24"/>
  <c r="M6" i="24"/>
  <c r="L6" i="24"/>
  <c r="K6" i="24"/>
  <c r="P50" i="24"/>
  <c r="M50" i="24"/>
  <c r="L50" i="24"/>
  <c r="K50" i="24"/>
  <c r="J50" i="24"/>
  <c r="H50" i="24"/>
  <c r="G50" i="24"/>
  <c r="F50" i="24"/>
  <c r="D50" i="24"/>
  <c r="C50" i="24"/>
  <c r="P49" i="24"/>
  <c r="O49" i="24"/>
  <c r="N49" i="24"/>
  <c r="M49" i="24"/>
  <c r="L49" i="24"/>
  <c r="K49" i="24"/>
  <c r="J49" i="24"/>
  <c r="H49" i="24"/>
  <c r="G49" i="24"/>
  <c r="F49" i="24"/>
  <c r="E49" i="24"/>
  <c r="D49" i="24"/>
  <c r="C49" i="24"/>
  <c r="O43" i="24"/>
  <c r="N43" i="24"/>
  <c r="M43" i="24"/>
  <c r="L43" i="24"/>
  <c r="K43" i="24"/>
  <c r="J43" i="24"/>
  <c r="G43" i="24"/>
  <c r="F43" i="24"/>
  <c r="E43" i="24"/>
  <c r="D43" i="24"/>
  <c r="C43" i="24"/>
  <c r="M41" i="24"/>
  <c r="L41" i="24"/>
  <c r="K41" i="24"/>
  <c r="J41" i="24"/>
  <c r="H41" i="24"/>
  <c r="G41" i="24"/>
  <c r="F41" i="24"/>
  <c r="D41" i="24"/>
  <c r="C41" i="24"/>
  <c r="O40" i="24"/>
  <c r="N40" i="24"/>
  <c r="M40" i="24"/>
  <c r="L40" i="24"/>
  <c r="K40" i="24"/>
  <c r="J40" i="24"/>
  <c r="H40" i="24"/>
  <c r="G40" i="24"/>
  <c r="F40" i="24"/>
  <c r="E40" i="24"/>
  <c r="D40" i="24"/>
  <c r="C40" i="24"/>
  <c r="K32" i="24"/>
  <c r="K34" i="24" s="1"/>
  <c r="J34" i="24"/>
  <c r="L30" i="24"/>
  <c r="L32" i="24" s="1"/>
  <c r="L34" i="24" s="1"/>
  <c r="K30" i="24"/>
  <c r="J30" i="24"/>
  <c r="H30" i="24"/>
  <c r="H32" i="24" s="1"/>
  <c r="H34" i="24" s="1"/>
  <c r="M29" i="24"/>
  <c r="L29" i="24"/>
  <c r="K29" i="24"/>
  <c r="J29" i="24"/>
  <c r="G29" i="24"/>
  <c r="F29" i="24"/>
  <c r="E29" i="24"/>
  <c r="D29" i="24"/>
  <c r="C29" i="24"/>
  <c r="P25" i="24"/>
  <c r="P24" i="24"/>
  <c r="L17" i="24"/>
  <c r="K17" i="24"/>
  <c r="H17" i="24"/>
  <c r="L15" i="24"/>
  <c r="K15" i="24"/>
  <c r="J15" i="24"/>
  <c r="H15" i="24"/>
  <c r="D12" i="24"/>
  <c r="D19" i="24" s="1"/>
  <c r="D14" i="24" s="1"/>
  <c r="D13" i="24" s="1"/>
  <c r="C12" i="24"/>
  <c r="C46" i="24" s="1"/>
  <c r="N11" i="24"/>
  <c r="M11" i="24"/>
  <c r="L11" i="24"/>
  <c r="P11" i="24" s="1"/>
  <c r="K11" i="24"/>
  <c r="J11" i="24"/>
  <c r="J12" i="24" s="1"/>
  <c r="P10" i="24"/>
  <c r="M10" i="24"/>
  <c r="L10" i="24"/>
  <c r="K10" i="24"/>
  <c r="J10" i="24"/>
  <c r="O10" i="24" s="1"/>
  <c r="O9" i="24"/>
  <c r="M9" i="24"/>
  <c r="J9" i="24"/>
  <c r="N9" i="24"/>
  <c r="G9" i="24"/>
  <c r="G12" i="24" s="1"/>
  <c r="F9" i="24"/>
  <c r="E9" i="24"/>
  <c r="E12" i="24" s="1"/>
  <c r="D9" i="24"/>
  <c r="C9" i="24"/>
  <c r="L9" i="24" s="1"/>
  <c r="P6" i="24"/>
  <c r="P26" i="24" s="1"/>
  <c r="N6" i="24"/>
  <c r="J6" i="24"/>
  <c r="G6" i="24"/>
  <c r="F6" i="24"/>
  <c r="E6" i="24"/>
  <c r="D6" i="24"/>
  <c r="C6" i="24"/>
  <c r="D25" i="24" l="1"/>
  <c r="D46" i="24"/>
  <c r="M12" i="24"/>
  <c r="M19" i="24"/>
  <c r="M46" i="24"/>
  <c r="M25" i="24"/>
  <c r="J21" i="24"/>
  <c r="J37" i="24"/>
  <c r="J46" i="24"/>
  <c r="J25" i="24"/>
  <c r="O12" i="24"/>
  <c r="J26" i="24"/>
  <c r="J38" i="24"/>
  <c r="J36" i="24"/>
  <c r="J24" i="24"/>
  <c r="J47" i="24"/>
  <c r="J45" i="24"/>
  <c r="L12" i="24"/>
  <c r="P9" i="24"/>
  <c r="G47" i="24"/>
  <c r="G26" i="24"/>
  <c r="G36" i="24"/>
  <c r="G21" i="24"/>
  <c r="G24" i="24"/>
  <c r="G37" i="24"/>
  <c r="G16" i="24"/>
  <c r="G31" i="24" s="1"/>
  <c r="G32" i="24" s="1"/>
  <c r="G34" i="24" s="1"/>
  <c r="G46" i="24"/>
  <c r="G25" i="24"/>
  <c r="G19" i="24"/>
  <c r="G14" i="24" s="1"/>
  <c r="G13" i="24" s="1"/>
  <c r="G38" i="24"/>
  <c r="E38" i="24"/>
  <c r="E19" i="24"/>
  <c r="E14" i="24" s="1"/>
  <c r="E13" i="24" s="1"/>
  <c r="E36" i="24"/>
  <c r="E24" i="24"/>
  <c r="E47" i="24"/>
  <c r="E45" i="24"/>
  <c r="E26" i="24"/>
  <c r="E21" i="24"/>
  <c r="E37" i="24"/>
  <c r="E16" i="24"/>
  <c r="E31" i="24" s="1"/>
  <c r="E32" i="24" s="1"/>
  <c r="E34" i="24" s="1"/>
  <c r="E46" i="24"/>
  <c r="E25" i="24"/>
  <c r="F36" i="24"/>
  <c r="C37" i="24"/>
  <c r="D16" i="24"/>
  <c r="D31" i="24" s="1"/>
  <c r="D32" i="24" s="1"/>
  <c r="D34" i="24" s="1"/>
  <c r="D21" i="24"/>
  <c r="M21" i="24"/>
  <c r="C26" i="24"/>
  <c r="C16" i="24"/>
  <c r="M37" i="24"/>
  <c r="C45" i="24"/>
  <c r="C47" i="24"/>
  <c r="D37" i="24"/>
  <c r="D26" i="24"/>
  <c r="M26" i="24"/>
  <c r="K9" i="24"/>
  <c r="K12" i="24" s="1"/>
  <c r="C24" i="24"/>
  <c r="D45" i="24"/>
  <c r="M45" i="24"/>
  <c r="D47" i="24"/>
  <c r="M47" i="24"/>
  <c r="C21" i="24"/>
  <c r="F12" i="24"/>
  <c r="D24" i="24"/>
  <c r="M24" i="24"/>
  <c r="D36" i="24"/>
  <c r="M36" i="24"/>
  <c r="C38" i="24"/>
  <c r="O11" i="24"/>
  <c r="C19" i="24"/>
  <c r="D38" i="24"/>
  <c r="M38" i="24"/>
  <c r="C25" i="24"/>
  <c r="L29" i="23"/>
  <c r="L11" i="23"/>
  <c r="L10" i="23"/>
  <c r="K11" i="23"/>
  <c r="K10" i="23"/>
  <c r="C14" i="24" l="1"/>
  <c r="C13" i="24" s="1"/>
  <c r="C17" i="24" s="1"/>
  <c r="G27" i="24"/>
  <c r="E17" i="24"/>
  <c r="E27" i="24"/>
  <c r="C27" i="24"/>
  <c r="F24" i="24"/>
  <c r="F47" i="24"/>
  <c r="F45" i="24"/>
  <c r="F26" i="24"/>
  <c r="F21" i="24"/>
  <c r="F16" i="24"/>
  <c r="F31" i="24" s="1"/>
  <c r="F32" i="24" s="1"/>
  <c r="F34" i="24" s="1"/>
  <c r="F38" i="24"/>
  <c r="F37" i="24"/>
  <c r="F19" i="24"/>
  <c r="F14" i="24" s="1"/>
  <c r="F13" i="24" s="1"/>
  <c r="F46" i="24"/>
  <c r="F25" i="24"/>
  <c r="O47" i="24"/>
  <c r="O45" i="24"/>
  <c r="O36" i="24"/>
  <c r="O37" i="24"/>
  <c r="O46" i="24"/>
  <c r="O38" i="24"/>
  <c r="J27" i="24"/>
  <c r="H26" i="24"/>
  <c r="H21" i="24"/>
  <c r="H19" i="24"/>
  <c r="H46" i="24"/>
  <c r="H25" i="24"/>
  <c r="H38" i="24"/>
  <c r="N12" i="24"/>
  <c r="H47" i="24"/>
  <c r="H45" i="24"/>
  <c r="M31" i="24"/>
  <c r="C34" i="24"/>
  <c r="G17" i="24"/>
  <c r="K37" i="24"/>
  <c r="K46" i="24"/>
  <c r="K25" i="24"/>
  <c r="K19" i="24"/>
  <c r="K26" i="24"/>
  <c r="K14" i="24"/>
  <c r="K38" i="24"/>
  <c r="K24" i="24"/>
  <c r="K21" i="24"/>
  <c r="K36" i="24"/>
  <c r="K47" i="24"/>
  <c r="K45" i="24"/>
  <c r="L46" i="24"/>
  <c r="L25" i="24"/>
  <c r="L19" i="24"/>
  <c r="L38" i="24"/>
  <c r="L36" i="24"/>
  <c r="L24" i="24"/>
  <c r="P12" i="24"/>
  <c r="L21" i="24"/>
  <c r="L47" i="24"/>
  <c r="L45" i="24"/>
  <c r="L37" i="24"/>
  <c r="L26" i="24"/>
  <c r="L14" i="24"/>
  <c r="D27" i="24"/>
  <c r="D17" i="24"/>
  <c r="D93" i="23"/>
  <c r="E29" i="23"/>
  <c r="C29" i="23"/>
  <c r="H27" i="24" l="1"/>
  <c r="P36" i="24"/>
  <c r="P38" i="24"/>
  <c r="P19" i="24"/>
  <c r="P48" i="24" s="1"/>
  <c r="P37" i="24"/>
  <c r="L27" i="24"/>
  <c r="N38" i="24"/>
  <c r="N47" i="24"/>
  <c r="N45" i="24"/>
  <c r="N21" i="24"/>
  <c r="N37" i="24"/>
  <c r="N46" i="24"/>
  <c r="K27" i="24"/>
  <c r="F17" i="24"/>
  <c r="F27" i="24"/>
  <c r="K15" i="23"/>
  <c r="N49" i="23" l="1"/>
  <c r="M49" i="23"/>
  <c r="L49" i="23"/>
  <c r="K49" i="23"/>
  <c r="J49" i="23"/>
  <c r="I49" i="23"/>
  <c r="H49" i="23"/>
  <c r="G49" i="23"/>
  <c r="F49" i="23"/>
  <c r="E49" i="23"/>
  <c r="D49" i="23"/>
  <c r="C49" i="23"/>
  <c r="M11" i="23"/>
  <c r="M10" i="23"/>
  <c r="H9" i="23"/>
  <c r="M9" i="23" s="1"/>
  <c r="G9" i="23"/>
  <c r="F9" i="23"/>
  <c r="E9" i="23"/>
  <c r="D9" i="23"/>
  <c r="I10" i="23"/>
  <c r="N10" i="23" s="1"/>
  <c r="C9" i="23"/>
  <c r="I15" i="23"/>
  <c r="H15" i="23"/>
  <c r="J15" i="23"/>
  <c r="K43" i="23"/>
  <c r="K30" i="23"/>
  <c r="K32" i="23" s="1"/>
  <c r="K34" i="23" s="1"/>
  <c r="J30" i="23"/>
  <c r="J32" i="23" s="1"/>
  <c r="J34" i="23" s="1"/>
  <c r="I30" i="23"/>
  <c r="I32" i="23" s="1"/>
  <c r="I34" i="23" s="1"/>
  <c r="H30" i="23"/>
  <c r="H32" i="23" s="1"/>
  <c r="H34" i="23" s="1"/>
  <c r="K29" i="23"/>
  <c r="J29" i="23"/>
  <c r="I29" i="23"/>
  <c r="H29" i="23"/>
  <c r="G29" i="23"/>
  <c r="F29" i="23"/>
  <c r="D29" i="23"/>
  <c r="C40" i="23"/>
  <c r="C50" i="23"/>
  <c r="K9" i="23" l="1"/>
  <c r="L9" i="23"/>
  <c r="J10" i="23"/>
  <c r="I9" i="23"/>
  <c r="N9" i="23" s="1"/>
  <c r="I11" i="23"/>
  <c r="N11" i="23" s="1"/>
  <c r="J9" i="23"/>
  <c r="J11" i="23"/>
  <c r="M40" i="23" l="1"/>
  <c r="N43" i="23"/>
  <c r="O50" i="23"/>
  <c r="O49" i="23"/>
  <c r="O9" i="23"/>
  <c r="L12" i="23"/>
  <c r="N40" i="23"/>
  <c r="G12" i="23"/>
  <c r="O11" i="23"/>
  <c r="K12" i="23"/>
  <c r="J12" i="23"/>
  <c r="J14" i="23" s="1"/>
  <c r="E12" i="23"/>
  <c r="C12" i="23"/>
  <c r="C36" i="23" s="1"/>
  <c r="O6" i="23"/>
  <c r="M6" i="23"/>
  <c r="J6" i="23"/>
  <c r="I6" i="23"/>
  <c r="H6" i="23"/>
  <c r="G6" i="23"/>
  <c r="F6" i="23"/>
  <c r="E6" i="23"/>
  <c r="D6" i="23"/>
  <c r="C6" i="23"/>
  <c r="L38" i="23" l="1"/>
  <c r="L19" i="23"/>
  <c r="L37" i="23"/>
  <c r="L24" i="23"/>
  <c r="L14" i="23"/>
  <c r="L26" i="23"/>
  <c r="L25" i="23"/>
  <c r="L36" i="23"/>
  <c r="L21" i="23"/>
  <c r="K14" i="23"/>
  <c r="K24" i="23"/>
  <c r="L45" i="23"/>
  <c r="K19" i="23"/>
  <c r="K21" i="23"/>
  <c r="K26" i="23"/>
  <c r="K25" i="23"/>
  <c r="J26" i="23"/>
  <c r="J24" i="23"/>
  <c r="J25" i="23"/>
  <c r="G25" i="23"/>
  <c r="G26" i="23"/>
  <c r="G24" i="23"/>
  <c r="E26" i="23"/>
  <c r="E24" i="23"/>
  <c r="E25" i="23"/>
  <c r="C26" i="23"/>
  <c r="C24" i="23"/>
  <c r="C25" i="23"/>
  <c r="C19" i="23"/>
  <c r="C16" i="23"/>
  <c r="C31" i="23" s="1"/>
  <c r="L31" i="23" s="1"/>
  <c r="J21" i="23"/>
  <c r="G45" i="23"/>
  <c r="G16" i="23"/>
  <c r="G31" i="23" s="1"/>
  <c r="G32" i="23" s="1"/>
  <c r="G34" i="23" s="1"/>
  <c r="E21" i="23"/>
  <c r="E16" i="23"/>
  <c r="E31" i="23" s="1"/>
  <c r="E32" i="23" s="1"/>
  <c r="E34" i="23" s="1"/>
  <c r="O26" i="23"/>
  <c r="O25" i="23"/>
  <c r="O24" i="23"/>
  <c r="K45" i="23"/>
  <c r="K46" i="23"/>
  <c r="G46" i="23"/>
  <c r="G50" i="23" s="1"/>
  <c r="G47" i="23"/>
  <c r="L46" i="23"/>
  <c r="L47" i="23"/>
  <c r="E45" i="23"/>
  <c r="E46" i="23"/>
  <c r="E47" i="23"/>
  <c r="K47" i="23"/>
  <c r="G21" i="23"/>
  <c r="J47" i="23"/>
  <c r="J45" i="23"/>
  <c r="J46" i="23"/>
  <c r="C21" i="23"/>
  <c r="C37" i="23"/>
  <c r="C45" i="23"/>
  <c r="C38" i="23"/>
  <c r="C46" i="23"/>
  <c r="C47" i="23"/>
  <c r="E36" i="23"/>
  <c r="E37" i="23"/>
  <c r="E19" i="23"/>
  <c r="E14" i="23" s="1"/>
  <c r="E13" i="23" s="1"/>
  <c r="K38" i="23"/>
  <c r="K36" i="23"/>
  <c r="O12" i="23"/>
  <c r="K37" i="23"/>
  <c r="H12" i="23"/>
  <c r="H14" i="23" s="1"/>
  <c r="J37" i="23"/>
  <c r="J19" i="23"/>
  <c r="J17" i="23" s="1"/>
  <c r="J38" i="23"/>
  <c r="E38" i="23"/>
  <c r="I12" i="23"/>
  <c r="J36" i="23"/>
  <c r="D12" i="23"/>
  <c r="F12" i="23"/>
  <c r="O10" i="23"/>
  <c r="G38" i="23"/>
  <c r="G36" i="23"/>
  <c r="G19" i="23"/>
  <c r="G14" i="23" s="1"/>
  <c r="G37" i="23"/>
  <c r="I33" i="22"/>
  <c r="I32" i="22"/>
  <c r="I31" i="22"/>
  <c r="I34" i="22" s="1"/>
  <c r="I35" i="22" s="1"/>
  <c r="I36" i="22" s="1"/>
  <c r="I37" i="22" s="1"/>
  <c r="G31" i="22"/>
  <c r="G34" i="22" s="1"/>
  <c r="G33" i="22"/>
  <c r="G32" i="22"/>
  <c r="I5" i="22"/>
  <c r="I11" i="22"/>
  <c r="I10" i="22"/>
  <c r="I9" i="22"/>
  <c r="M22" i="22"/>
  <c r="L22" i="22"/>
  <c r="K20" i="22"/>
  <c r="F12" i="22"/>
  <c r="F20" i="22" s="1"/>
  <c r="J11" i="22"/>
  <c r="N11" i="22" s="1"/>
  <c r="H11" i="22"/>
  <c r="G11" i="22"/>
  <c r="L11" i="22" s="1"/>
  <c r="E11" i="22"/>
  <c r="D11" i="22"/>
  <c r="C11" i="22"/>
  <c r="B11" i="22"/>
  <c r="K10" i="22"/>
  <c r="K19" i="22" s="1"/>
  <c r="J10" i="22"/>
  <c r="N10" i="22" s="1"/>
  <c r="H10" i="22"/>
  <c r="M10" i="22" s="1"/>
  <c r="G10" i="22"/>
  <c r="L10" i="22" s="1"/>
  <c r="E10" i="22"/>
  <c r="D10" i="22"/>
  <c r="C10" i="22"/>
  <c r="K9" i="22"/>
  <c r="K18" i="22" s="1"/>
  <c r="J9" i="22"/>
  <c r="J12" i="22" s="1"/>
  <c r="H9" i="22"/>
  <c r="G9" i="22"/>
  <c r="G12" i="22" s="1"/>
  <c r="E9" i="22"/>
  <c r="D9" i="22"/>
  <c r="C9" i="22"/>
  <c r="B9" i="22"/>
  <c r="N5" i="22"/>
  <c r="L5" i="22"/>
  <c r="H5" i="22"/>
  <c r="G5" i="22"/>
  <c r="F5" i="22"/>
  <c r="E5" i="22"/>
  <c r="D5" i="22"/>
  <c r="C5" i="22"/>
  <c r="B5" i="22"/>
  <c r="C14" i="23" l="1"/>
  <c r="C13" i="23" s="1"/>
  <c r="C17" i="23" s="1"/>
  <c r="C32" i="23"/>
  <c r="C34" i="23" s="1"/>
  <c r="I14" i="23"/>
  <c r="I21" i="23"/>
  <c r="H21" i="23"/>
  <c r="G13" i="23"/>
  <c r="G17" i="23" s="1"/>
  <c r="H19" i="23"/>
  <c r="H45" i="23"/>
  <c r="E27" i="23"/>
  <c r="G27" i="23"/>
  <c r="K27" i="23"/>
  <c r="K17" i="23"/>
  <c r="J27" i="23"/>
  <c r="I26" i="23"/>
  <c r="I24" i="23"/>
  <c r="I25" i="23"/>
  <c r="H26" i="23"/>
  <c r="H24" i="23"/>
  <c r="H25" i="23"/>
  <c r="F26" i="23"/>
  <c r="F24" i="23"/>
  <c r="F25" i="23"/>
  <c r="D25" i="23"/>
  <c r="D26" i="23"/>
  <c r="D24" i="23"/>
  <c r="C27" i="23"/>
  <c r="E17" i="23"/>
  <c r="D16" i="23"/>
  <c r="D31" i="23" s="1"/>
  <c r="D32" i="23" s="1"/>
  <c r="D34" i="23" s="1"/>
  <c r="F16" i="23"/>
  <c r="F31" i="23" s="1"/>
  <c r="F32" i="23" s="1"/>
  <c r="F34" i="23" s="1"/>
  <c r="L41" i="23"/>
  <c r="J50" i="23"/>
  <c r="L43" i="23"/>
  <c r="L50" i="23"/>
  <c r="F47" i="23"/>
  <c r="F46" i="23"/>
  <c r="F45" i="23"/>
  <c r="F38" i="23"/>
  <c r="H47" i="23"/>
  <c r="H46" i="23"/>
  <c r="K50" i="23"/>
  <c r="D21" i="23"/>
  <c r="D45" i="23"/>
  <c r="D47" i="23"/>
  <c r="D46" i="23"/>
  <c r="I47" i="23"/>
  <c r="I46" i="23"/>
  <c r="I45" i="23"/>
  <c r="N12" i="23"/>
  <c r="M12" i="23"/>
  <c r="F37" i="23"/>
  <c r="F21" i="23"/>
  <c r="J43" i="23"/>
  <c r="D37" i="23"/>
  <c r="D19" i="23"/>
  <c r="D14" i="23" s="1"/>
  <c r="D13" i="23" s="1"/>
  <c r="D38" i="23"/>
  <c r="D36" i="23"/>
  <c r="I38" i="23"/>
  <c r="I36" i="23"/>
  <c r="I37" i="23"/>
  <c r="I19" i="23"/>
  <c r="I17" i="23" s="1"/>
  <c r="O38" i="23"/>
  <c r="O36" i="23"/>
  <c r="O37" i="23"/>
  <c r="O19" i="23"/>
  <c r="O48" i="23" s="1"/>
  <c r="F19" i="23"/>
  <c r="F14" i="23" s="1"/>
  <c r="F13" i="23" s="1"/>
  <c r="F36" i="23"/>
  <c r="H37" i="23"/>
  <c r="H38" i="23"/>
  <c r="H36" i="23"/>
  <c r="G35" i="22"/>
  <c r="G36" i="22" s="1"/>
  <c r="G37" i="22" s="1"/>
  <c r="M11" i="22"/>
  <c r="C12" i="22"/>
  <c r="C20" i="22" s="1"/>
  <c r="E12" i="22"/>
  <c r="E20" i="22" s="1"/>
  <c r="H12" i="22"/>
  <c r="K21" i="22"/>
  <c r="K23" i="22" s="1"/>
  <c r="B12" i="22"/>
  <c r="I12" i="22"/>
  <c r="K22" i="22"/>
  <c r="C19" i="22"/>
  <c r="C18" i="22"/>
  <c r="C15" i="22"/>
  <c r="E15" i="22"/>
  <c r="H20" i="22"/>
  <c r="H19" i="22"/>
  <c r="H18" i="22"/>
  <c r="H15" i="22"/>
  <c r="H31" i="22" s="1"/>
  <c r="M12" i="22"/>
  <c r="B18" i="22"/>
  <c r="G20" i="22"/>
  <c r="G19" i="22"/>
  <c r="G18" i="22"/>
  <c r="G15" i="22"/>
  <c r="L12" i="22"/>
  <c r="J20" i="22"/>
  <c r="J19" i="22"/>
  <c r="J18" i="22"/>
  <c r="J15" i="22"/>
  <c r="N12" i="22"/>
  <c r="E19" i="22"/>
  <c r="M9" i="22"/>
  <c r="D12" i="22"/>
  <c r="D18" i="22" s="1"/>
  <c r="L9" i="22"/>
  <c r="N9" i="22"/>
  <c r="F15" i="22"/>
  <c r="F18" i="22"/>
  <c r="F19" i="22"/>
  <c r="D18" i="21"/>
  <c r="C20" i="21"/>
  <c r="C19" i="21"/>
  <c r="C18" i="21"/>
  <c r="B20" i="21"/>
  <c r="B19" i="21"/>
  <c r="B18" i="21"/>
  <c r="I27" i="23" l="1"/>
  <c r="H17" i="23"/>
  <c r="H27" i="23"/>
  <c r="F17" i="23"/>
  <c r="F27" i="23"/>
  <c r="D27" i="23"/>
  <c r="D17" i="23"/>
  <c r="L40" i="23"/>
  <c r="J41" i="23"/>
  <c r="E43" i="23"/>
  <c r="F43" i="23"/>
  <c r="M21" i="23"/>
  <c r="M45" i="23"/>
  <c r="M47" i="23"/>
  <c r="M46" i="23"/>
  <c r="G43" i="23"/>
  <c r="J40" i="23"/>
  <c r="I50" i="23"/>
  <c r="N45" i="23"/>
  <c r="N47" i="23"/>
  <c r="N46" i="23"/>
  <c r="N36" i="23"/>
  <c r="C43" i="23"/>
  <c r="C41" i="23"/>
  <c r="K41" i="23"/>
  <c r="K40" i="23"/>
  <c r="F41" i="23"/>
  <c r="F40" i="23"/>
  <c r="G41" i="23"/>
  <c r="G40" i="23"/>
  <c r="D41" i="23"/>
  <c r="E40" i="23"/>
  <c r="H43" i="23"/>
  <c r="N37" i="23"/>
  <c r="N38" i="23"/>
  <c r="I20" i="22"/>
  <c r="I18" i="22"/>
  <c r="I15" i="22"/>
  <c r="I19" i="22"/>
  <c r="B20" i="22"/>
  <c r="B21" i="22" s="1"/>
  <c r="B19" i="22"/>
  <c r="E18" i="22"/>
  <c r="E21" i="22" s="1"/>
  <c r="B15" i="22"/>
  <c r="H32" i="22"/>
  <c r="H34" i="22" s="1"/>
  <c r="H35" i="22" s="1"/>
  <c r="D20" i="22"/>
  <c r="D19" i="22"/>
  <c r="D21" i="22" s="1"/>
  <c r="D23" i="22" s="1"/>
  <c r="H33" i="22"/>
  <c r="G21" i="22"/>
  <c r="D15" i="22"/>
  <c r="L15" i="22"/>
  <c r="L20" i="22"/>
  <c r="L19" i="22"/>
  <c r="L18" i="22"/>
  <c r="F21" i="22"/>
  <c r="N20" i="22"/>
  <c r="N19" i="22"/>
  <c r="N18" i="22"/>
  <c r="N15" i="22"/>
  <c r="J21" i="22"/>
  <c r="M20" i="22"/>
  <c r="M19" i="22"/>
  <c r="M18" i="22"/>
  <c r="H21" i="22"/>
  <c r="C21" i="22"/>
  <c r="L22" i="21"/>
  <c r="K22" i="21"/>
  <c r="J22" i="21"/>
  <c r="I22" i="21"/>
  <c r="H22" i="21"/>
  <c r="G22" i="21"/>
  <c r="F22" i="21"/>
  <c r="E22" i="21"/>
  <c r="G18" i="21"/>
  <c r="E18" i="21"/>
  <c r="F18" i="21"/>
  <c r="H18" i="21"/>
  <c r="I18" i="21"/>
  <c r="J18" i="21"/>
  <c r="K18" i="21"/>
  <c r="L18" i="21"/>
  <c r="D19" i="21"/>
  <c r="E19" i="21"/>
  <c r="F19" i="21"/>
  <c r="G19" i="21"/>
  <c r="H19" i="21"/>
  <c r="I19" i="21"/>
  <c r="J19" i="21"/>
  <c r="K19" i="21"/>
  <c r="L19" i="21"/>
  <c r="D20" i="21"/>
  <c r="E20" i="21"/>
  <c r="F20" i="21"/>
  <c r="G20" i="21"/>
  <c r="H20" i="21"/>
  <c r="I20" i="21"/>
  <c r="J20" i="21"/>
  <c r="K20" i="21"/>
  <c r="L20" i="21"/>
  <c r="F50" i="23" l="1"/>
  <c r="H50" i="23"/>
  <c r="D40" i="23"/>
  <c r="D43" i="23"/>
  <c r="D50" i="23"/>
  <c r="I41" i="23"/>
  <c r="I43" i="23"/>
  <c r="I40" i="23"/>
  <c r="H41" i="23"/>
  <c r="H40" i="23"/>
  <c r="B23" i="22"/>
  <c r="B22" i="22"/>
  <c r="I21" i="22"/>
  <c r="C22" i="22"/>
  <c r="C23" i="22"/>
  <c r="E22" i="22"/>
  <c r="E23" i="22"/>
  <c r="H22" i="22"/>
  <c r="H23" i="22"/>
  <c r="J22" i="22"/>
  <c r="J23" i="22"/>
  <c r="F22" i="22"/>
  <c r="F23" i="22"/>
  <c r="G22" i="22"/>
  <c r="G23" i="22"/>
  <c r="D22" i="22"/>
  <c r="I11" i="21"/>
  <c r="I9" i="21"/>
  <c r="H11" i="21"/>
  <c r="H9" i="21"/>
  <c r="G11" i="21"/>
  <c r="G9" i="21"/>
  <c r="J21" i="21"/>
  <c r="F21" i="21"/>
  <c r="E21" i="21"/>
  <c r="D21" i="21"/>
  <c r="D22" i="21" s="1"/>
  <c r="C21" i="21"/>
  <c r="C22" i="21" s="1"/>
  <c r="B21" i="21"/>
  <c r="B22" i="21" s="1"/>
  <c r="I12" i="21"/>
  <c r="H12" i="21"/>
  <c r="G12" i="21"/>
  <c r="F12" i="21"/>
  <c r="E12" i="21"/>
  <c r="D12" i="21"/>
  <c r="C12" i="21"/>
  <c r="C15" i="21"/>
  <c r="B12" i="21"/>
  <c r="B15" i="21"/>
  <c r="E11" i="21"/>
  <c r="E9" i="21"/>
  <c r="D11" i="21"/>
  <c r="D9" i="21"/>
  <c r="C11" i="21"/>
  <c r="C9" i="21"/>
  <c r="B11" i="21"/>
  <c r="B9" i="21"/>
  <c r="C10" i="21"/>
  <c r="D10" i="21"/>
  <c r="E10" i="21"/>
  <c r="G10" i="21"/>
  <c r="H10" i="21"/>
  <c r="I10" i="21"/>
  <c r="J10" i="21"/>
  <c r="K10" i="21"/>
  <c r="L10" i="21"/>
  <c r="M10" i="21"/>
  <c r="I23" i="22" l="1"/>
  <c r="I22" i="22"/>
  <c r="M11" i="21"/>
  <c r="L11" i="21"/>
  <c r="K11" i="21"/>
  <c r="J9" i="21"/>
  <c r="M9" i="21"/>
  <c r="L9" i="21"/>
  <c r="K9" i="21"/>
  <c r="M5" i="21"/>
  <c r="K5" i="21"/>
  <c r="H5" i="21"/>
  <c r="G5" i="21"/>
  <c r="F5" i="21"/>
  <c r="E5" i="21"/>
  <c r="D5" i="21"/>
  <c r="C5" i="21"/>
  <c r="B5" i="21"/>
  <c r="K12" i="21" l="1"/>
  <c r="E15" i="21"/>
  <c r="D15" i="21"/>
  <c r="F15" i="21"/>
  <c r="G15" i="21"/>
  <c r="K15" i="21"/>
  <c r="G21" i="21"/>
  <c r="H15" i="21"/>
  <c r="G20" i="20"/>
  <c r="G16" i="20"/>
  <c r="K21" i="20"/>
  <c r="K20" i="20"/>
  <c r="K19" i="20"/>
  <c r="K22" i="20" s="1"/>
  <c r="N13" i="20"/>
  <c r="N19" i="20" s="1"/>
  <c r="M13" i="20"/>
  <c r="M21" i="20" s="1"/>
  <c r="L13" i="20"/>
  <c r="L19" i="20" s="1"/>
  <c r="J13" i="20"/>
  <c r="J19" i="20" s="1"/>
  <c r="I13" i="20"/>
  <c r="I21" i="20" s="1"/>
  <c r="H13" i="20"/>
  <c r="H19" i="20" s="1"/>
  <c r="G13" i="20"/>
  <c r="G21" i="20" s="1"/>
  <c r="E13" i="20"/>
  <c r="E20" i="20" s="1"/>
  <c r="C13" i="20"/>
  <c r="C20" i="20" s="1"/>
  <c r="F12" i="20"/>
  <c r="F13" i="20" s="1"/>
  <c r="E12" i="20"/>
  <c r="D12" i="20"/>
  <c r="C12" i="20"/>
  <c r="B12" i="20"/>
  <c r="N5" i="20"/>
  <c r="M5" i="20"/>
  <c r="I5" i="20"/>
  <c r="H5" i="20"/>
  <c r="F5" i="20"/>
  <c r="E5" i="20"/>
  <c r="D5" i="20"/>
  <c r="C5" i="20"/>
  <c r="B5" i="20"/>
  <c r="G19" i="19"/>
  <c r="M12" i="21" l="1"/>
  <c r="I15" i="21"/>
  <c r="H21" i="21"/>
  <c r="L12" i="21"/>
  <c r="M19" i="20"/>
  <c r="J20" i="20"/>
  <c r="J22" i="20" s="1"/>
  <c r="J21" i="20"/>
  <c r="H20" i="20"/>
  <c r="H21" i="20"/>
  <c r="H22" i="20" s="1"/>
  <c r="F19" i="20"/>
  <c r="F16" i="20"/>
  <c r="F20" i="20"/>
  <c r="C16" i="20"/>
  <c r="E16" i="20"/>
  <c r="I16" i="20"/>
  <c r="L16" i="20"/>
  <c r="N16" i="20"/>
  <c r="C19" i="20"/>
  <c r="E19" i="20"/>
  <c r="E22" i="20" s="1"/>
  <c r="G19" i="20"/>
  <c r="I19" i="20"/>
  <c r="L20" i="20"/>
  <c r="N20" i="20"/>
  <c r="C21" i="20"/>
  <c r="F21" i="20"/>
  <c r="L21" i="20"/>
  <c r="N21" i="20"/>
  <c r="B13" i="20"/>
  <c r="B21" i="20" s="1"/>
  <c r="D13" i="20"/>
  <c r="H16" i="20"/>
  <c r="J16" i="20"/>
  <c r="M16" i="20"/>
  <c r="I20" i="20"/>
  <c r="M20" i="20"/>
  <c r="K21" i="19"/>
  <c r="K20" i="19"/>
  <c r="K22" i="19" s="1"/>
  <c r="K19" i="19"/>
  <c r="N13" i="19"/>
  <c r="N16" i="19" s="1"/>
  <c r="M13" i="19"/>
  <c r="M16" i="19" s="1"/>
  <c r="L13" i="19"/>
  <c r="L16" i="19" s="1"/>
  <c r="J13" i="19"/>
  <c r="J21" i="19" s="1"/>
  <c r="I13" i="19"/>
  <c r="I19" i="19" s="1"/>
  <c r="H13" i="19"/>
  <c r="H21" i="19" s="1"/>
  <c r="G13" i="19"/>
  <c r="D13" i="19"/>
  <c r="D20" i="19" s="1"/>
  <c r="F12" i="19"/>
  <c r="E12" i="19"/>
  <c r="E13" i="19" s="1"/>
  <c r="D12" i="19"/>
  <c r="C12" i="19"/>
  <c r="B12" i="19"/>
  <c r="B13" i="19" s="1"/>
  <c r="N5" i="19"/>
  <c r="M5" i="19"/>
  <c r="I5" i="19"/>
  <c r="H5" i="19"/>
  <c r="F5" i="19"/>
  <c r="E5" i="19"/>
  <c r="D5" i="19"/>
  <c r="C5" i="19"/>
  <c r="B5" i="19"/>
  <c r="I21" i="21" l="1"/>
  <c r="M15" i="21"/>
  <c r="M18" i="21"/>
  <c r="M19" i="21"/>
  <c r="M20" i="21"/>
  <c r="I22" i="20"/>
  <c r="D19" i="20"/>
  <c r="D16" i="20"/>
  <c r="D20" i="20"/>
  <c r="F22" i="20"/>
  <c r="B19" i="20"/>
  <c r="B16" i="20"/>
  <c r="B20" i="20"/>
  <c r="G22" i="20"/>
  <c r="C22" i="20"/>
  <c r="D21" i="20"/>
  <c r="L20" i="19"/>
  <c r="L19" i="19"/>
  <c r="L21" i="19"/>
  <c r="G22" i="19"/>
  <c r="G21" i="19"/>
  <c r="G20" i="19"/>
  <c r="B21" i="19"/>
  <c r="B20" i="19"/>
  <c r="B19" i="19"/>
  <c r="B16" i="19"/>
  <c r="F21" i="19"/>
  <c r="E16" i="19"/>
  <c r="E20" i="19"/>
  <c r="E19" i="19"/>
  <c r="E22" i="19" s="1"/>
  <c r="H16" i="19"/>
  <c r="D19" i="19"/>
  <c r="H19" i="19"/>
  <c r="I16" i="19"/>
  <c r="M19" i="19"/>
  <c r="F13" i="19"/>
  <c r="J16" i="19"/>
  <c r="J19" i="19"/>
  <c r="N19" i="19"/>
  <c r="I20" i="19"/>
  <c r="M20" i="19"/>
  <c r="D21" i="19"/>
  <c r="I21" i="19"/>
  <c r="M21" i="19"/>
  <c r="C13" i="19"/>
  <c r="C21" i="19" s="1"/>
  <c r="G16" i="19"/>
  <c r="J20" i="19"/>
  <c r="N20" i="19"/>
  <c r="N21" i="19"/>
  <c r="D16" i="19"/>
  <c r="H20" i="19"/>
  <c r="K22" i="18"/>
  <c r="K19" i="18"/>
  <c r="K21" i="18"/>
  <c r="K20" i="18"/>
  <c r="B22" i="20" l="1"/>
  <c r="D22" i="20"/>
  <c r="I22" i="19"/>
  <c r="B22" i="19"/>
  <c r="H22" i="19"/>
  <c r="F20" i="19"/>
  <c r="F19" i="19"/>
  <c r="F22" i="19" s="1"/>
  <c r="F16" i="19"/>
  <c r="D22" i="19"/>
  <c r="J22" i="19"/>
  <c r="C19" i="19"/>
  <c r="C22" i="19" s="1"/>
  <c r="C16" i="19"/>
  <c r="C20" i="19"/>
  <c r="N21" i="18"/>
  <c r="N20" i="18"/>
  <c r="N19" i="18"/>
  <c r="M21" i="18"/>
  <c r="M20" i="18"/>
  <c r="M19" i="18"/>
  <c r="L21" i="18"/>
  <c r="L20" i="18"/>
  <c r="L19" i="18"/>
  <c r="N13" i="18"/>
  <c r="M13" i="18"/>
  <c r="L13" i="18"/>
  <c r="J13" i="18"/>
  <c r="J20" i="18" s="1"/>
  <c r="I13" i="18"/>
  <c r="I20" i="18" s="1"/>
  <c r="H13" i="18"/>
  <c r="H21" i="18" s="1"/>
  <c r="G13" i="18"/>
  <c r="G20" i="18" s="1"/>
  <c r="F13" i="18"/>
  <c r="F20" i="18" s="1"/>
  <c r="D13" i="18"/>
  <c r="D21" i="18" s="1"/>
  <c r="B13" i="18"/>
  <c r="B21" i="18" s="1"/>
  <c r="F12" i="18"/>
  <c r="F21" i="18" s="1"/>
  <c r="E12" i="18"/>
  <c r="E13" i="18" s="1"/>
  <c r="D12" i="18"/>
  <c r="C12" i="18"/>
  <c r="B12" i="18"/>
  <c r="N5" i="18"/>
  <c r="M5" i="18"/>
  <c r="I5" i="18"/>
  <c r="H5" i="18"/>
  <c r="F5" i="18"/>
  <c r="E5" i="18"/>
  <c r="D5" i="18"/>
  <c r="C5" i="18"/>
  <c r="B5" i="18"/>
  <c r="I21" i="18" l="1"/>
  <c r="G21" i="18"/>
  <c r="E20" i="18"/>
  <c r="E19" i="18"/>
  <c r="E16" i="18"/>
  <c r="D16" i="18"/>
  <c r="M16" i="18"/>
  <c r="D19" i="18"/>
  <c r="D22" i="18" s="1"/>
  <c r="H19" i="18"/>
  <c r="D20" i="18"/>
  <c r="H20" i="18"/>
  <c r="I16" i="18"/>
  <c r="N16" i="18"/>
  <c r="I19" i="18"/>
  <c r="J21" i="18"/>
  <c r="H16" i="18"/>
  <c r="B16" i="18"/>
  <c r="F16" i="18"/>
  <c r="J16" i="18"/>
  <c r="B19" i="18"/>
  <c r="F19" i="18"/>
  <c r="F22" i="18" s="1"/>
  <c r="J19" i="18"/>
  <c r="B20" i="18"/>
  <c r="C13" i="18"/>
  <c r="C21" i="18" s="1"/>
  <c r="G16" i="18"/>
  <c r="L16" i="18"/>
  <c r="G19" i="18"/>
  <c r="G22" i="18" s="1"/>
  <c r="J13" i="17"/>
  <c r="J21" i="17" s="1"/>
  <c r="J20" i="17"/>
  <c r="N13" i="17"/>
  <c r="M13" i="17"/>
  <c r="L13" i="17"/>
  <c r="I13" i="17"/>
  <c r="H13" i="17"/>
  <c r="G13" i="17"/>
  <c r="F13" i="17"/>
  <c r="F20" i="17" s="1"/>
  <c r="B13" i="17"/>
  <c r="B20" i="17" s="1"/>
  <c r="F12" i="17"/>
  <c r="E12" i="17"/>
  <c r="E13" i="17" s="1"/>
  <c r="D12" i="17"/>
  <c r="C12" i="17"/>
  <c r="B12" i="17"/>
  <c r="N5" i="17"/>
  <c r="M5" i="17"/>
  <c r="I5" i="17"/>
  <c r="H5" i="17"/>
  <c r="F5" i="17"/>
  <c r="E5" i="17"/>
  <c r="D5" i="17"/>
  <c r="C5" i="17"/>
  <c r="B5" i="17"/>
  <c r="J21" i="16"/>
  <c r="J20" i="16"/>
  <c r="H19" i="16"/>
  <c r="J19" i="16"/>
  <c r="J22" i="16" s="1"/>
  <c r="L19" i="16"/>
  <c r="H13" i="16"/>
  <c r="H21" i="16" s="1"/>
  <c r="I13" i="16"/>
  <c r="I19" i="16" s="1"/>
  <c r="K13" i="16"/>
  <c r="K16" i="16" s="1"/>
  <c r="L13" i="16"/>
  <c r="L21" i="16" s="1"/>
  <c r="M13" i="16"/>
  <c r="M19" i="16" s="1"/>
  <c r="G13" i="16"/>
  <c r="F12" i="16"/>
  <c r="F13" i="16" s="1"/>
  <c r="E12" i="16"/>
  <c r="E13" i="16" s="1"/>
  <c r="E20" i="16" s="1"/>
  <c r="D12" i="16"/>
  <c r="D13" i="16" s="1"/>
  <c r="D19" i="16" s="1"/>
  <c r="C12" i="16"/>
  <c r="B12" i="16"/>
  <c r="M5" i="16"/>
  <c r="L5" i="16"/>
  <c r="I5" i="16"/>
  <c r="H5" i="16"/>
  <c r="F5" i="16"/>
  <c r="E5" i="16"/>
  <c r="D5" i="16"/>
  <c r="C5" i="16"/>
  <c r="B5" i="16"/>
  <c r="J22" i="18" l="1"/>
  <c r="I22" i="18"/>
  <c r="H22" i="18"/>
  <c r="C20" i="18"/>
  <c r="C19" i="18"/>
  <c r="C16" i="18"/>
  <c r="B22" i="18"/>
  <c r="E22" i="18"/>
  <c r="H19" i="17"/>
  <c r="H16" i="17"/>
  <c r="G21" i="17"/>
  <c r="G16" i="17"/>
  <c r="G19" i="17"/>
  <c r="M20" i="17"/>
  <c r="M16" i="17"/>
  <c r="L20" i="17"/>
  <c r="L16" i="17"/>
  <c r="N20" i="17"/>
  <c r="N16" i="17"/>
  <c r="J19" i="17"/>
  <c r="J22" i="17" s="1"/>
  <c r="J16" i="17"/>
  <c r="I20" i="17"/>
  <c r="I16" i="17"/>
  <c r="M21" i="17"/>
  <c r="N21" i="17"/>
  <c r="G20" i="17"/>
  <c r="H20" i="17"/>
  <c r="H21" i="17"/>
  <c r="I21" i="17"/>
  <c r="F21" i="17"/>
  <c r="B21" i="17"/>
  <c r="E20" i="17"/>
  <c r="E19" i="17"/>
  <c r="E16" i="17"/>
  <c r="C13" i="17"/>
  <c r="C21" i="17" s="1"/>
  <c r="D13" i="17"/>
  <c r="I19" i="17"/>
  <c r="N19" i="17"/>
  <c r="B16" i="17"/>
  <c r="F16" i="17"/>
  <c r="B19" i="17"/>
  <c r="F19" i="17"/>
  <c r="F22" i="17" s="1"/>
  <c r="L21" i="17"/>
  <c r="L19" i="17"/>
  <c r="M19" i="17"/>
  <c r="L22" i="16"/>
  <c r="K19" i="16"/>
  <c r="M20" i="16"/>
  <c r="I20" i="16"/>
  <c r="I22" i="16" s="1"/>
  <c r="K21" i="16"/>
  <c r="L20" i="16"/>
  <c r="H20" i="16"/>
  <c r="H22" i="16" s="1"/>
  <c r="I21" i="16"/>
  <c r="M21" i="16"/>
  <c r="K20" i="16"/>
  <c r="L16" i="16"/>
  <c r="M16" i="16"/>
  <c r="G19" i="16"/>
  <c r="G20" i="16"/>
  <c r="G21" i="16"/>
  <c r="D21" i="16"/>
  <c r="F20" i="16"/>
  <c r="F19" i="16"/>
  <c r="F16" i="16"/>
  <c r="B13" i="16"/>
  <c r="B21" i="16" s="1"/>
  <c r="D16" i="16"/>
  <c r="C13" i="16"/>
  <c r="E16" i="16"/>
  <c r="E19" i="16"/>
  <c r="F21" i="16"/>
  <c r="D20" i="16"/>
  <c r="M28" i="10"/>
  <c r="L28" i="10"/>
  <c r="K28" i="10"/>
  <c r="J28" i="10"/>
  <c r="I28" i="10"/>
  <c r="H28" i="10"/>
  <c r="M21" i="10"/>
  <c r="L21" i="10"/>
  <c r="K21" i="10"/>
  <c r="J21" i="10"/>
  <c r="H21" i="10"/>
  <c r="M20" i="10"/>
  <c r="K20" i="10"/>
  <c r="I20" i="10"/>
  <c r="H20" i="10"/>
  <c r="M19" i="10"/>
  <c r="L19" i="10"/>
  <c r="J19" i="10"/>
  <c r="I19" i="10"/>
  <c r="H19" i="10"/>
  <c r="M16" i="10"/>
  <c r="L16" i="10"/>
  <c r="K16" i="10"/>
  <c r="J16" i="10"/>
  <c r="I16" i="10"/>
  <c r="H16" i="10"/>
  <c r="G12" i="10"/>
  <c r="F12" i="10"/>
  <c r="F13" i="10" s="1"/>
  <c r="E12" i="10"/>
  <c r="D12" i="10"/>
  <c r="D13" i="10" s="1"/>
  <c r="D19" i="10" s="1"/>
  <c r="C12" i="10"/>
  <c r="C13" i="10" s="1"/>
  <c r="C20" i="10" s="1"/>
  <c r="B12" i="10"/>
  <c r="B13" i="10" s="1"/>
  <c r="M5" i="10"/>
  <c r="L5" i="10"/>
  <c r="J5" i="10"/>
  <c r="I5" i="10"/>
  <c r="G5" i="10"/>
  <c r="F5" i="10"/>
  <c r="E5" i="10"/>
  <c r="D5" i="10"/>
  <c r="C5" i="10"/>
  <c r="B5" i="10"/>
  <c r="H28" i="9"/>
  <c r="I28" i="9"/>
  <c r="J28" i="9"/>
  <c r="K28" i="9"/>
  <c r="L28" i="9"/>
  <c r="M28" i="9"/>
  <c r="M21" i="9"/>
  <c r="M20" i="9"/>
  <c r="M19" i="9"/>
  <c r="K20" i="9"/>
  <c r="K21" i="9"/>
  <c r="L21" i="9"/>
  <c r="L19" i="9"/>
  <c r="I19" i="9"/>
  <c r="J19" i="9"/>
  <c r="I20" i="9"/>
  <c r="J21" i="9"/>
  <c r="H19" i="9"/>
  <c r="H20" i="9"/>
  <c r="H21" i="9"/>
  <c r="I16" i="9"/>
  <c r="J16" i="9"/>
  <c r="K16" i="9"/>
  <c r="L16" i="9"/>
  <c r="M16" i="9"/>
  <c r="H16" i="9"/>
  <c r="J5" i="9"/>
  <c r="I5" i="9"/>
  <c r="M5" i="9"/>
  <c r="L5" i="9"/>
  <c r="G12" i="9"/>
  <c r="G13" i="9" s="1"/>
  <c r="F12" i="9"/>
  <c r="F13" i="9" s="1"/>
  <c r="E12" i="9"/>
  <c r="E13" i="9" s="1"/>
  <c r="D12" i="9"/>
  <c r="D13" i="9" s="1"/>
  <c r="C12" i="9"/>
  <c r="C13" i="9" s="1"/>
  <c r="B12" i="9"/>
  <c r="B13" i="9" s="1"/>
  <c r="G5" i="9"/>
  <c r="F5" i="9"/>
  <c r="E5" i="9"/>
  <c r="D5" i="9"/>
  <c r="C5" i="9"/>
  <c r="B5" i="9"/>
  <c r="F20" i="8"/>
  <c r="H11" i="8"/>
  <c r="H10" i="8"/>
  <c r="G11" i="8"/>
  <c r="G10" i="8"/>
  <c r="F11" i="8"/>
  <c r="F10" i="8"/>
  <c r="E11" i="8"/>
  <c r="E10" i="8"/>
  <c r="D11" i="8"/>
  <c r="D10" i="8"/>
  <c r="C11" i="8"/>
  <c r="J11" i="8" s="1"/>
  <c r="C10" i="8"/>
  <c r="M22" i="8"/>
  <c r="J22" i="8"/>
  <c r="I22" i="8"/>
  <c r="H22" i="8"/>
  <c r="G22" i="8"/>
  <c r="F22" i="8"/>
  <c r="E22" i="8"/>
  <c r="H12" i="8"/>
  <c r="G12" i="8"/>
  <c r="F12" i="8"/>
  <c r="E12" i="8"/>
  <c r="D12" i="8"/>
  <c r="D13" i="8" s="1"/>
  <c r="D19" i="8" s="1"/>
  <c r="C12" i="8"/>
  <c r="I12" i="8" s="1"/>
  <c r="F13" i="8"/>
  <c r="J5" i="8"/>
  <c r="I5" i="8"/>
  <c r="H5" i="8"/>
  <c r="G5" i="8"/>
  <c r="F5" i="8"/>
  <c r="E5" i="8"/>
  <c r="D5" i="8"/>
  <c r="C5" i="8"/>
  <c r="M22" i="7"/>
  <c r="J22" i="7"/>
  <c r="I22" i="7"/>
  <c r="H22" i="7"/>
  <c r="G22" i="7"/>
  <c r="F22" i="7"/>
  <c r="E22" i="7"/>
  <c r="D22" i="7"/>
  <c r="C22" i="7"/>
  <c r="J13" i="7"/>
  <c r="J19" i="7" s="1"/>
  <c r="I13" i="7"/>
  <c r="I21" i="7" s="1"/>
  <c r="H12" i="7"/>
  <c r="G12" i="7"/>
  <c r="F12" i="7"/>
  <c r="E12" i="7"/>
  <c r="D12" i="7"/>
  <c r="C12" i="7"/>
  <c r="H11" i="7"/>
  <c r="G11" i="7"/>
  <c r="F11" i="7"/>
  <c r="E11" i="7"/>
  <c r="D11" i="7"/>
  <c r="C11" i="7"/>
  <c r="H10" i="7"/>
  <c r="G10" i="7"/>
  <c r="F10" i="7"/>
  <c r="E10" i="7"/>
  <c r="D10" i="7"/>
  <c r="C10" i="7"/>
  <c r="J5" i="7"/>
  <c r="I5" i="7"/>
  <c r="H5" i="7"/>
  <c r="G5" i="7"/>
  <c r="F5" i="7"/>
  <c r="E5" i="7"/>
  <c r="D5" i="7"/>
  <c r="C5" i="7"/>
  <c r="C22" i="18" l="1"/>
  <c r="H22" i="17"/>
  <c r="G22" i="17"/>
  <c r="M22" i="17"/>
  <c r="I22" i="17"/>
  <c r="E22" i="17"/>
  <c r="N22" i="17"/>
  <c r="B22" i="17"/>
  <c r="C16" i="17"/>
  <c r="C20" i="17"/>
  <c r="C19" i="17"/>
  <c r="L22" i="17"/>
  <c r="D20" i="17"/>
  <c r="D19" i="17"/>
  <c r="D16" i="17"/>
  <c r="D21" i="17"/>
  <c r="C13" i="7"/>
  <c r="G13" i="7"/>
  <c r="G19" i="7" s="1"/>
  <c r="G25" i="7" s="1"/>
  <c r="M22" i="16"/>
  <c r="E13" i="7"/>
  <c r="K22" i="16"/>
  <c r="F22" i="16"/>
  <c r="D22" i="16"/>
  <c r="E22" i="16"/>
  <c r="G22" i="16"/>
  <c r="C19" i="16"/>
  <c r="C16" i="16"/>
  <c r="C20" i="16"/>
  <c r="C21" i="16"/>
  <c r="B19" i="16"/>
  <c r="B16" i="16"/>
  <c r="B20" i="16"/>
  <c r="C19" i="7"/>
  <c r="D21" i="8"/>
  <c r="D21" i="10"/>
  <c r="F21" i="8"/>
  <c r="F19" i="8"/>
  <c r="G13" i="10"/>
  <c r="G20" i="10" s="1"/>
  <c r="D20" i="8"/>
  <c r="C21" i="10"/>
  <c r="C26" i="10"/>
  <c r="B19" i="10"/>
  <c r="B16" i="10"/>
  <c r="B26" i="10" s="1"/>
  <c r="F20" i="10"/>
  <c r="F19" i="10"/>
  <c r="F16" i="10"/>
  <c r="F27" i="10" s="1"/>
  <c r="D20" i="10"/>
  <c r="B21" i="10"/>
  <c r="E13" i="10"/>
  <c r="C16" i="10"/>
  <c r="C19" i="10"/>
  <c r="D16" i="10"/>
  <c r="D25" i="10" s="1"/>
  <c r="I11" i="8"/>
  <c r="I19" i="7"/>
  <c r="J10" i="8"/>
  <c r="I10" i="8"/>
  <c r="C21" i="9"/>
  <c r="G20" i="9"/>
  <c r="C16" i="9"/>
  <c r="C19" i="9"/>
  <c r="C20" i="9"/>
  <c r="F16" i="9"/>
  <c r="E16" i="9"/>
  <c r="D16" i="9"/>
  <c r="J13" i="8"/>
  <c r="J19" i="8" s="1"/>
  <c r="G13" i="8"/>
  <c r="G20" i="8" s="1"/>
  <c r="E13" i="8"/>
  <c r="E20" i="8" s="1"/>
  <c r="D16" i="8"/>
  <c r="D25" i="8" s="1"/>
  <c r="F16" i="8"/>
  <c r="F26" i="8" s="1"/>
  <c r="H13" i="8"/>
  <c r="C13" i="8"/>
  <c r="C16" i="8" s="1"/>
  <c r="E16" i="7"/>
  <c r="E19" i="7"/>
  <c r="E20" i="7"/>
  <c r="C21" i="7"/>
  <c r="C16" i="7"/>
  <c r="C26" i="7" s="1"/>
  <c r="G16" i="7"/>
  <c r="G26" i="7" s="1"/>
  <c r="E21" i="7"/>
  <c r="E27" i="7" s="1"/>
  <c r="D13" i="7"/>
  <c r="F13" i="7"/>
  <c r="F16" i="7" s="1"/>
  <c r="F26" i="7" s="1"/>
  <c r="J16" i="7"/>
  <c r="J20" i="7"/>
  <c r="J21" i="7"/>
  <c r="H13" i="7"/>
  <c r="I16" i="7"/>
  <c r="I25" i="7" s="1"/>
  <c r="I20" i="7"/>
  <c r="C22" i="17" l="1"/>
  <c r="D22" i="17"/>
  <c r="C25" i="10"/>
  <c r="G21" i="7"/>
  <c r="G27" i="7" s="1"/>
  <c r="C27" i="10"/>
  <c r="D27" i="8"/>
  <c r="I26" i="7"/>
  <c r="B22" i="16"/>
  <c r="C22" i="16"/>
  <c r="F19" i="7"/>
  <c r="F25" i="7" s="1"/>
  <c r="J20" i="8"/>
  <c r="G19" i="10"/>
  <c r="I27" i="7"/>
  <c r="D26" i="8"/>
  <c r="I13" i="8"/>
  <c r="I19" i="8" s="1"/>
  <c r="D22" i="8"/>
  <c r="G16" i="10"/>
  <c r="D26" i="10"/>
  <c r="D28" i="10" s="1"/>
  <c r="D27" i="10"/>
  <c r="F21" i="7"/>
  <c r="F27" i="7" s="1"/>
  <c r="J21" i="8"/>
  <c r="C27" i="9"/>
  <c r="G21" i="10"/>
  <c r="C28" i="10"/>
  <c r="B27" i="10"/>
  <c r="B25" i="10"/>
  <c r="F25" i="10"/>
  <c r="G25" i="10"/>
  <c r="E19" i="10"/>
  <c r="E16" i="10"/>
  <c r="E20" i="10"/>
  <c r="F26" i="10"/>
  <c r="E21" i="10"/>
  <c r="C25" i="7"/>
  <c r="H16" i="8"/>
  <c r="H19" i="8"/>
  <c r="H25" i="8" s="1"/>
  <c r="H20" i="8"/>
  <c r="H26" i="8" s="1"/>
  <c r="E19" i="8"/>
  <c r="G19" i="8"/>
  <c r="E21" i="8"/>
  <c r="C27" i="7"/>
  <c r="G21" i="8"/>
  <c r="H21" i="8"/>
  <c r="H27" i="8" s="1"/>
  <c r="C20" i="8"/>
  <c r="C26" i="8" s="1"/>
  <c r="C21" i="8"/>
  <c r="C19" i="8"/>
  <c r="G16" i="9"/>
  <c r="G26" i="9" s="1"/>
  <c r="G19" i="9"/>
  <c r="E20" i="9"/>
  <c r="E26" i="9" s="1"/>
  <c r="B16" i="9"/>
  <c r="B19" i="9"/>
  <c r="G21" i="9"/>
  <c r="F27" i="9"/>
  <c r="F20" i="9"/>
  <c r="F26" i="9" s="1"/>
  <c r="E19" i="9"/>
  <c r="E25" i="9" s="1"/>
  <c r="E21" i="9"/>
  <c r="E27" i="9" s="1"/>
  <c r="D20" i="9"/>
  <c r="D26" i="9" s="1"/>
  <c r="D19" i="9"/>
  <c r="D25" i="9" s="1"/>
  <c r="C26" i="9"/>
  <c r="B21" i="9"/>
  <c r="F19" i="9"/>
  <c r="F25" i="9" s="1"/>
  <c r="D21" i="9"/>
  <c r="D27" i="9" s="1"/>
  <c r="C25" i="9"/>
  <c r="J16" i="8"/>
  <c r="I16" i="8"/>
  <c r="I25" i="8" s="1"/>
  <c r="I21" i="8"/>
  <c r="I20" i="8"/>
  <c r="G16" i="8"/>
  <c r="G26" i="8" s="1"/>
  <c r="E16" i="8"/>
  <c r="C27" i="8"/>
  <c r="F25" i="8"/>
  <c r="F27" i="8"/>
  <c r="D21" i="7"/>
  <c r="D27" i="7" s="1"/>
  <c r="D16" i="7"/>
  <c r="D25" i="7" s="1"/>
  <c r="H19" i="7"/>
  <c r="H21" i="7"/>
  <c r="H16" i="7"/>
  <c r="D20" i="7"/>
  <c r="D26" i="7" s="1"/>
  <c r="E25" i="7"/>
  <c r="H20" i="7"/>
  <c r="E26" i="7"/>
  <c r="E27" i="8" l="1"/>
  <c r="E27" i="10"/>
  <c r="E25" i="10"/>
  <c r="C28" i="9"/>
  <c r="G27" i="10"/>
  <c r="I27" i="8"/>
  <c r="E26" i="10"/>
  <c r="G26" i="10"/>
  <c r="E28" i="10"/>
  <c r="F28" i="10"/>
  <c r="B28" i="10"/>
  <c r="H27" i="7"/>
  <c r="E28" i="9"/>
  <c r="E26" i="8"/>
  <c r="D28" i="9"/>
  <c r="C22" i="8"/>
  <c r="C25" i="8"/>
  <c r="H26" i="7"/>
  <c r="G27" i="8"/>
  <c r="F28" i="9"/>
  <c r="B27" i="9"/>
  <c r="G27" i="9"/>
  <c r="G25" i="9"/>
  <c r="B26" i="9"/>
  <c r="B25" i="9"/>
  <c r="I26" i="8"/>
  <c r="G25" i="8"/>
  <c r="E25" i="8"/>
  <c r="H25" i="7"/>
  <c r="B28" i="9" l="1"/>
  <c r="G28" i="10"/>
  <c r="G28" i="9"/>
  <c r="M43" i="23" l="1"/>
  <c r="M37" i="23"/>
  <c r="M38" i="23"/>
  <c r="J17" i="24"/>
  <c r="I14" i="24"/>
</calcChain>
</file>

<file path=xl/sharedStrings.xml><?xml version="1.0" encoding="utf-8"?>
<sst xmlns="http://schemas.openxmlformats.org/spreadsheetml/2006/main" count="719" uniqueCount="136">
  <si>
    <t>montant forfait</t>
  </si>
  <si>
    <t>total jours</t>
  </si>
  <si>
    <t>prix repas</t>
  </si>
  <si>
    <t>DP 5</t>
  </si>
  <si>
    <t>DP 4</t>
  </si>
  <si>
    <t>DP 3</t>
  </si>
  <si>
    <t>DP 2</t>
  </si>
  <si>
    <t>DP 1</t>
  </si>
  <si>
    <t>DP 6</t>
  </si>
  <si>
    <t>jours années</t>
  </si>
  <si>
    <t>trim 1</t>
  </si>
  <si>
    <t>trim 2</t>
  </si>
  <si>
    <t>trim 3</t>
  </si>
  <si>
    <t>semaines</t>
  </si>
  <si>
    <t>janv/mars 12sem</t>
  </si>
  <si>
    <t>avril/juin 6 sem</t>
  </si>
  <si>
    <t>sept/déc 14 sem</t>
  </si>
  <si>
    <t>COUT PAR TRIMESTRE</t>
  </si>
  <si>
    <t>VERIFICATION  coût trim/prix repas</t>
  </si>
  <si>
    <t>TARIFS DP LYCEE LORITZ ANNEE 2012</t>
  </si>
  <si>
    <t>INTERNES</t>
  </si>
  <si>
    <t>INT/EXT</t>
  </si>
  <si>
    <t>TARIFS DP LYCEE LORITZ ANNEE 2013</t>
  </si>
  <si>
    <t>janv/mars 10 sem</t>
  </si>
  <si>
    <t>avril/juin 8 sem</t>
  </si>
  <si>
    <t>janv/mars 11 sem</t>
  </si>
  <si>
    <t>avril/juin 7 sem</t>
  </si>
  <si>
    <t>TARIFS DP LYCEE LORITZ ANNEE 2016</t>
  </si>
  <si>
    <t>VERIFICATION  nbr de jour par trimestre</t>
  </si>
  <si>
    <t>Int hébergé 6  nuits</t>
  </si>
  <si>
    <t>Int hébergé 7  nuits</t>
  </si>
  <si>
    <t>Int 5 nuits</t>
  </si>
  <si>
    <t>Int 6 nuits</t>
  </si>
  <si>
    <t>Int 7 nuits</t>
  </si>
  <si>
    <t>Int hébergé 5  nuits</t>
  </si>
  <si>
    <t>TARIFS DP LYCEE LORITZ ANNEE 2017</t>
  </si>
  <si>
    <t>TARIFS DP INTERNAT LYCEE LORITZ ANNEE 2018</t>
  </si>
  <si>
    <t>janv/mars 13 sem</t>
  </si>
  <si>
    <t>avril/juillet 9 sem</t>
  </si>
  <si>
    <t>convention avec autre EPLE         sans repas midi</t>
  </si>
  <si>
    <t>int 4 nuits</t>
  </si>
  <si>
    <t>élève externe</t>
  </si>
  <si>
    <t>TARIFS DP INTERNAT LYCEE LORITZ ANNEE 2019</t>
  </si>
  <si>
    <t>semaines/an</t>
  </si>
  <si>
    <t>prix repas / jour</t>
  </si>
  <si>
    <t>ticket</t>
  </si>
  <si>
    <t>nuitée élève</t>
  </si>
  <si>
    <t>avril/juillet 11 sem</t>
  </si>
  <si>
    <t>interne</t>
  </si>
  <si>
    <t>externé</t>
  </si>
  <si>
    <t>2Repas/j</t>
  </si>
  <si>
    <t>TARIFS DP INTERNAT LYCEE LORITZ ANNEE 2020</t>
  </si>
  <si>
    <t>janv/mars 12 sem</t>
  </si>
  <si>
    <t>avril/juillet 10 sem</t>
  </si>
  <si>
    <r>
      <t xml:space="preserve">une contribution aux charges communes de </t>
    </r>
    <r>
      <rPr>
        <b/>
        <sz val="11"/>
        <color theme="1"/>
        <rFont val="Calibri"/>
        <family val="2"/>
        <scheme val="minor"/>
      </rPr>
      <t>20%</t>
    </r>
    <r>
      <rPr>
        <sz val="11"/>
        <color theme="1"/>
        <rFont val="Calibri"/>
        <family val="2"/>
        <scheme val="minor"/>
      </rPr>
      <t xml:space="preserve"> sur les DP , de </t>
    </r>
    <r>
      <rPr>
        <b/>
        <sz val="11"/>
        <color theme="1"/>
        <rFont val="Calibri"/>
        <family val="2"/>
        <scheme val="minor"/>
      </rPr>
      <t>30%</t>
    </r>
    <r>
      <rPr>
        <sz val="11"/>
        <color theme="1"/>
        <rFont val="Calibri"/>
        <family val="2"/>
        <scheme val="minor"/>
      </rPr>
      <t xml:space="preserve"> sur les internes hébergés et de </t>
    </r>
    <r>
      <rPr>
        <b/>
        <sz val="11"/>
        <color theme="1"/>
        <rFont val="Calibri"/>
        <family val="2"/>
        <scheme val="minor"/>
      </rPr>
      <t>35%</t>
    </r>
    <r>
      <rPr>
        <sz val="11"/>
        <color theme="1"/>
        <rFont val="Calibri"/>
        <family val="2"/>
        <scheme val="minor"/>
      </rPr>
      <t xml:space="preserve"> sur les internes</t>
    </r>
  </si>
  <si>
    <r>
      <t>et une contribution à la rémunération des personnels de</t>
    </r>
    <r>
      <rPr>
        <b/>
        <sz val="11"/>
        <color theme="1"/>
        <rFont val="Calibri"/>
        <family val="2"/>
        <scheme val="minor"/>
      </rPr>
      <t xml:space="preserve"> 21%</t>
    </r>
  </si>
  <si>
    <t>soit</t>
  </si>
  <si>
    <t>crédit nourriture</t>
  </si>
  <si>
    <r>
      <t xml:space="preserve">A savoir que la Région impose sur ces tarifs deux </t>
    </r>
    <r>
      <rPr>
        <b/>
        <sz val="11"/>
        <color theme="1"/>
        <rFont val="Calibri"/>
        <family val="2"/>
        <scheme val="minor"/>
      </rPr>
      <t>cotisations</t>
    </r>
    <r>
      <rPr>
        <sz val="11"/>
        <color theme="1"/>
        <rFont val="Calibri"/>
        <family val="2"/>
        <scheme val="minor"/>
      </rPr>
      <t xml:space="preserve"> à déduire du tarif payé par les familles :</t>
    </r>
  </si>
  <si>
    <t>journalier</t>
  </si>
  <si>
    <t>convention avec autre EPLE (internat sans repas midi)</t>
  </si>
  <si>
    <t>TARIFS DP INTERNAT LYCEE LORITZ ANNEE 2021</t>
  </si>
  <si>
    <t>TARIFS DP INTERNAT LYCEE LORITZ ANNEE 2022</t>
  </si>
  <si>
    <t>sept/déc 13 sem</t>
  </si>
  <si>
    <t>interne externé</t>
  </si>
  <si>
    <t>Int hébergé
6 nuits</t>
  </si>
  <si>
    <t>Int hébergé
5 nuits</t>
  </si>
  <si>
    <t>Int hébergé
4  nuits</t>
  </si>
  <si>
    <t>TARIFS DP INTERNAT LYCEE LORITZ ANNEE SCOLAIRE 2022-2023</t>
  </si>
  <si>
    <r>
      <t xml:space="preserve">La Région impose sur ces tarifs deux </t>
    </r>
    <r>
      <rPr>
        <b/>
        <sz val="11"/>
        <color theme="1"/>
        <rFont val="Calibri"/>
        <family val="2"/>
        <scheme val="minor"/>
      </rPr>
      <t>cotisations</t>
    </r>
    <r>
      <rPr>
        <sz val="11"/>
        <color theme="1"/>
        <rFont val="Calibri"/>
        <family val="2"/>
        <scheme val="minor"/>
      </rPr>
      <t xml:space="preserve"> à déduire du tarif payé par les familles :</t>
    </r>
  </si>
  <si>
    <t>Int 6 nuits 
10 repas</t>
  </si>
  <si>
    <t>Int 5 nuits 
10 repas</t>
  </si>
  <si>
    <t>Int 5 nuits
9 repas</t>
  </si>
  <si>
    <t>Mensualité PA</t>
  </si>
  <si>
    <t>formule</t>
  </si>
  <si>
    <t>à saisir</t>
  </si>
  <si>
    <t>jours / année</t>
  </si>
  <si>
    <t>semaines / an</t>
  </si>
  <si>
    <t>TARIFS DP INTERNAT LYCEE LORITZ ANNEE SCOLAIRE 2023-2024</t>
  </si>
  <si>
    <t>Niveau</t>
  </si>
  <si>
    <t>Post-bac des lycées publics du Grand-Est</t>
  </si>
  <si>
    <t>trim 1 - part usager</t>
  </si>
  <si>
    <t>trim 2 - part usager</t>
  </si>
  <si>
    <t>trim 3 - part usager</t>
  </si>
  <si>
    <t>Coût annuel usager</t>
  </si>
  <si>
    <t>Mensualité PA usager
(de 11/2023 à 07/2024)</t>
  </si>
  <si>
    <t>Tarif annuel complet</t>
  </si>
  <si>
    <t>2 Repas / jour</t>
  </si>
  <si>
    <t>montant annuel forfait</t>
  </si>
  <si>
    <t>prix prestations / jour</t>
  </si>
  <si>
    <r>
      <t>Part acquittée par l'</t>
    </r>
    <r>
      <rPr>
        <b/>
        <sz val="10"/>
        <color rgb="FFFF0000"/>
        <rFont val="Calibri"/>
        <family val="2"/>
        <scheme val="minor"/>
      </rPr>
      <t>usager post-bac</t>
    </r>
  </si>
  <si>
    <t>contrôle</t>
  </si>
  <si>
    <t>TARIFICATION COMMENSAUX</t>
  </si>
  <si>
    <t>personnel catégorie C Région</t>
  </si>
  <si>
    <t>personnel catégorie C Etat</t>
  </si>
  <si>
    <t>personnel catégorie B et A Région</t>
  </si>
  <si>
    <t>personnel catégorie B et A Etat</t>
  </si>
  <si>
    <t>(AED, AESH, service civique, assistant langue ...)</t>
  </si>
  <si>
    <t>TARIFICATION HÔTE DE PASSAGE</t>
  </si>
  <si>
    <t>Repas exceptionnel</t>
  </si>
  <si>
    <t>Stagiaire GRETA, étudiant hors établissement</t>
  </si>
  <si>
    <t xml:space="preserve">NUITEE EXCEPTIONNELLE PROFESSEUR </t>
  </si>
  <si>
    <t>TARIFICATION APPRENTIS</t>
  </si>
  <si>
    <t>Petit Déjeuner</t>
  </si>
  <si>
    <t xml:space="preserve">Déjeuner + 2 collations </t>
  </si>
  <si>
    <t xml:space="preserve">Déjeuner + 1 collation </t>
  </si>
  <si>
    <t xml:space="preserve">collation </t>
  </si>
  <si>
    <t>ARRS / repas</t>
  </si>
  <si>
    <t>ticket modérateur internat</t>
  </si>
  <si>
    <t>10,00 € / an</t>
  </si>
  <si>
    <r>
      <t>Part acquittée par l'</t>
    </r>
    <r>
      <rPr>
        <b/>
        <sz val="8"/>
        <color rgb="FFFF0000"/>
        <rFont val="Calibri"/>
        <family val="2"/>
        <scheme val="minor"/>
      </rPr>
      <t>usager pré-bac ne bénéficiant pas de l'ARRS</t>
    </r>
  </si>
  <si>
    <r>
      <t>Part acquittée par l'</t>
    </r>
    <r>
      <rPr>
        <b/>
        <sz val="8"/>
        <color rgb="FFFF0000"/>
        <rFont val="Calibri"/>
        <family val="2"/>
        <scheme val="minor"/>
      </rPr>
      <t>usager pré-bac bénéficiant de l'ARRS</t>
    </r>
  </si>
  <si>
    <t>ARSS / an</t>
  </si>
  <si>
    <t>coût annuel global</t>
  </si>
  <si>
    <t>Compensation Région pour l'usager pré-bac bénéficiant de l'ARRS</t>
  </si>
  <si>
    <t>Compensation Région nuitées / an</t>
  </si>
  <si>
    <r>
      <t xml:space="preserve">Usagers </t>
    </r>
    <r>
      <rPr>
        <b/>
        <sz val="11"/>
        <color rgb="FFFF0000"/>
        <rFont val="Calibri"/>
        <family val="2"/>
        <scheme val="minor"/>
      </rPr>
      <t>pré-bac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ne bénéficiant pas de</t>
    </r>
    <r>
      <rPr>
        <sz val="11"/>
        <color theme="1"/>
        <rFont val="Calibri"/>
        <family val="2"/>
        <scheme val="minor"/>
      </rPr>
      <t xml:space="preserve"> l'</t>
    </r>
    <r>
      <rPr>
        <b/>
        <sz val="11"/>
        <color rgb="FFFF0000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ide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égionale à la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estauration </t>
    </r>
    <r>
      <rPr>
        <b/>
        <sz val="11"/>
        <color rgb="FFFF000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colaire (</t>
    </r>
    <r>
      <rPr>
        <sz val="11"/>
        <color rgb="FFFF0000"/>
        <rFont val="Calibri"/>
        <family val="2"/>
        <scheme val="minor"/>
      </rPr>
      <t>ARRS</t>
    </r>
    <r>
      <rPr>
        <sz val="11"/>
        <color theme="1"/>
        <rFont val="Calibri"/>
        <family val="2"/>
        <scheme val="minor"/>
      </rPr>
      <t>)</t>
    </r>
  </si>
  <si>
    <r>
      <t xml:space="preserve">Usagers </t>
    </r>
    <r>
      <rPr>
        <b/>
        <sz val="11"/>
        <color theme="1"/>
        <rFont val="Calibri"/>
        <family val="2"/>
        <scheme val="minor"/>
      </rPr>
      <t xml:space="preserve">pré bac 
</t>
    </r>
    <r>
      <rPr>
        <sz val="11"/>
        <color theme="1"/>
        <rFont val="Calibri"/>
        <family val="2"/>
        <scheme val="minor"/>
      </rPr>
      <t>bénéficiant de
 l</t>
    </r>
    <r>
      <rPr>
        <b/>
        <sz val="11"/>
        <color theme="1"/>
        <rFont val="Calibri"/>
        <family val="2"/>
        <scheme val="minor"/>
      </rPr>
      <t>'aide régionale
 à la restauration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 scolaire</t>
    </r>
  </si>
  <si>
    <t>Compensation ARRS / an</t>
  </si>
  <si>
    <r>
      <t xml:space="preserve">petit-déjeuner     </t>
    </r>
    <r>
      <rPr>
        <b/>
        <sz val="11"/>
        <color theme="1"/>
        <rFont val="Calibri"/>
        <family val="2"/>
        <scheme val="minor"/>
      </rPr>
      <t>2,50 €</t>
    </r>
  </si>
  <si>
    <r>
      <t xml:space="preserve">repas élève au ticket    </t>
    </r>
    <r>
      <rPr>
        <b/>
        <sz val="11"/>
        <color theme="1"/>
        <rFont val="Calibri"/>
        <family val="2"/>
        <scheme val="minor"/>
      </rPr>
      <t>4,75 €</t>
    </r>
  </si>
  <si>
    <r>
      <t xml:space="preserve">nuitée     </t>
    </r>
    <r>
      <rPr>
        <b/>
        <sz val="11"/>
        <color theme="1"/>
        <rFont val="Calibri"/>
        <family val="2"/>
        <scheme val="minor"/>
      </rPr>
      <t>11,00 €</t>
    </r>
  </si>
  <si>
    <t>TARIFS APPLICABLES ANNEE SCOLAIRE 2023 / 2024</t>
  </si>
  <si>
    <t>TARIFS APPLICABLES ANNEE SCOLAIRE 2023 /2024</t>
  </si>
  <si>
    <t>Repas midi ou soir apprentis sans contrat</t>
  </si>
  <si>
    <t>Nuitée apprentis sans contrat</t>
  </si>
  <si>
    <t>Restauration + hébergement ( / jour) apprentis sans contrat</t>
  </si>
  <si>
    <t>Repas midi ou soir apprentis avec contrat</t>
  </si>
  <si>
    <t>Nuitée apprentis avec contrat</t>
  </si>
  <si>
    <t>Restauration + hébergement ( / jour) apprentis avec contrat</t>
  </si>
  <si>
    <r>
      <t>janv/mars 10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sem</t>
    </r>
  </si>
  <si>
    <t>avril/juillet 12 sem</t>
  </si>
  <si>
    <t>Int 7 nuits 
10 repas</t>
  </si>
  <si>
    <t>TARIFS APPLICABLES ANNEE SCOLAIRE 2024 / 2025</t>
  </si>
  <si>
    <t>Int 4 nuits
9 repas</t>
  </si>
  <si>
    <r>
      <t xml:space="preserve">repas élève au ticket    </t>
    </r>
    <r>
      <rPr>
        <b/>
        <sz val="11"/>
        <color theme="1"/>
        <rFont val="Calibri"/>
        <family val="2"/>
        <scheme val="minor"/>
      </rPr>
      <t>4,85 €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</si>
</sst>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-140C]_-;\-* #,##0.00\ [$€-140C]_-;_-* &quot;-&quot;??\ [$€-140C]_-;_-@_-"/>
    <numFmt numFmtId="165" formatCode="_-* #,##0\ [$€-140C]_-;\-* #,##0\ [$€-140C]_-;_-* &quot;-&quot;??\ [$€-140C]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49">
    <xf numFmtId="0" fontId="0" fillId="0" borderId="0" xfId="0"/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1" fontId="0" fillId="0" borderId="11" xfId="0" applyNumberFormat="1" applyBorder="1" applyAlignment="1">
      <alignment horizontal="right" vertical="center"/>
    </xf>
    <xf numFmtId="1" fontId="0" fillId="0" borderId="6" xfId="0" applyNumberForma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right" vertical="center"/>
    </xf>
    <xf numFmtId="1" fontId="1" fillId="0" borderId="6" xfId="0" applyNumberFormat="1" applyFont="1" applyBorder="1" applyAlignment="1">
      <alignment horizontal="right" vertical="center"/>
    </xf>
    <xf numFmtId="2" fontId="0" fillId="0" borderId="11" xfId="0" applyNumberFormat="1" applyBorder="1" applyAlignment="1">
      <alignment horizontal="right" vertical="center"/>
    </xf>
    <xf numFmtId="2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2" fontId="0" fillId="0" borderId="6" xfId="0" applyNumberForma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2" fontId="1" fillId="0" borderId="8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" fontId="0" fillId="0" borderId="0" xfId="0" applyNumberFormat="1" applyBorder="1" applyAlignment="1">
      <alignment horizontal="right" vertical="center"/>
    </xf>
    <xf numFmtId="1" fontId="0" fillId="0" borderId="8" xfId="0" applyNumberFormat="1" applyBorder="1" applyAlignment="1">
      <alignment horizontal="right" vertical="center"/>
    </xf>
    <xf numFmtId="1" fontId="0" fillId="0" borderId="9" xfId="0" applyNumberFormat="1" applyBorder="1" applyAlignment="1">
      <alignment horizontal="right" vertical="center"/>
    </xf>
    <xf numFmtId="2" fontId="1" fillId="0" borderId="6" xfId="0" applyNumberFormat="1" applyFont="1" applyBorder="1" applyAlignment="1">
      <alignment horizontal="right" vertical="center"/>
    </xf>
    <xf numFmtId="2" fontId="0" fillId="0" borderId="5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" fontId="0" fillId="0" borderId="5" xfId="0" applyNumberFormat="1" applyBorder="1" applyAlignment="1">
      <alignment horizontal="right" vertical="center"/>
    </xf>
    <xf numFmtId="1" fontId="0" fillId="0" borderId="7" xfId="0" applyNumberFormat="1" applyBorder="1" applyAlignment="1">
      <alignment horizontal="right" vertical="center"/>
    </xf>
    <xf numFmtId="2" fontId="1" fillId="0" borderId="7" xfId="0" applyNumberFormat="1" applyFont="1" applyBorder="1" applyAlignment="1">
      <alignment horizontal="right" vertical="center"/>
    </xf>
    <xf numFmtId="2" fontId="1" fillId="0" borderId="9" xfId="0" applyNumberFormat="1" applyFont="1" applyBorder="1" applyAlignment="1">
      <alignment horizontal="right" vertical="center"/>
    </xf>
    <xf numFmtId="2" fontId="1" fillId="0" borderId="14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0" fillId="2" borderId="0" xfId="0" applyNumberFormat="1" applyFill="1" applyBorder="1" applyAlignment="1">
      <alignment horizontal="right" vertical="center"/>
    </xf>
    <xf numFmtId="2" fontId="0" fillId="2" borderId="5" xfId="0" applyNumberFormat="1" applyFill="1" applyBorder="1" applyAlignment="1">
      <alignment horizontal="right" vertical="center"/>
    </xf>
    <xf numFmtId="0" fontId="0" fillId="3" borderId="5" xfId="0" applyFill="1" applyBorder="1" applyAlignment="1">
      <alignment horizontal="right" vertical="center"/>
    </xf>
    <xf numFmtId="2" fontId="0" fillId="3" borderId="0" xfId="0" applyNumberFormat="1" applyFill="1" applyBorder="1" applyAlignment="1">
      <alignment horizontal="right" vertical="center"/>
    </xf>
    <xf numFmtId="2" fontId="0" fillId="3" borderId="6" xfId="0" applyNumberFormat="1" applyFill="1" applyBorder="1" applyAlignment="1">
      <alignment horizontal="right" vertical="center"/>
    </xf>
    <xf numFmtId="2" fontId="0" fillId="3" borderId="5" xfId="0" applyNumberFormat="1" applyFill="1" applyBorder="1" applyAlignment="1">
      <alignment horizontal="right" vertical="center"/>
    </xf>
    <xf numFmtId="0" fontId="0" fillId="4" borderId="5" xfId="0" applyFill="1" applyBorder="1" applyAlignment="1">
      <alignment horizontal="right" vertical="center"/>
    </xf>
    <xf numFmtId="2" fontId="0" fillId="4" borderId="0" xfId="0" applyNumberFormat="1" applyFill="1" applyBorder="1" applyAlignment="1">
      <alignment horizontal="right" vertical="center"/>
    </xf>
    <xf numFmtId="2" fontId="0" fillId="4" borderId="6" xfId="0" applyNumberFormat="1" applyFill="1" applyBorder="1" applyAlignment="1">
      <alignment horizontal="right" vertical="center"/>
    </xf>
    <xf numFmtId="2" fontId="0" fillId="4" borderId="5" xfId="0" applyNumberFormat="1" applyFill="1" applyBorder="1" applyAlignment="1">
      <alignment horizontal="right" vertical="center"/>
    </xf>
    <xf numFmtId="1" fontId="0" fillId="3" borderId="11" xfId="0" applyNumberFormat="1" applyFill="1" applyBorder="1" applyAlignment="1">
      <alignment horizontal="right" vertical="center"/>
    </xf>
    <xf numFmtId="1" fontId="0" fillId="3" borderId="6" xfId="0" applyNumberFormat="1" applyFill="1" applyBorder="1" applyAlignment="1">
      <alignment horizontal="right" vertical="center"/>
    </xf>
    <xf numFmtId="1" fontId="0" fillId="3" borderId="0" xfId="0" applyNumberFormat="1" applyFill="1" applyBorder="1" applyAlignment="1">
      <alignment horizontal="right" vertical="center"/>
    </xf>
    <xf numFmtId="1" fontId="0" fillId="3" borderId="5" xfId="0" applyNumberForma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1" fontId="0" fillId="0" borderId="20" xfId="0" applyNumberForma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3" borderId="26" xfId="0" applyFill="1" applyBorder="1" applyAlignment="1">
      <alignment horizontal="right" vertical="center"/>
    </xf>
    <xf numFmtId="1" fontId="0" fillId="3" borderId="27" xfId="0" applyNumberFormat="1" applyFill="1" applyBorder="1" applyAlignment="1">
      <alignment horizontal="right" vertical="center"/>
    </xf>
    <xf numFmtId="1" fontId="0" fillId="3" borderId="28" xfId="0" applyNumberFormat="1" applyFill="1" applyBorder="1" applyAlignment="1">
      <alignment horizontal="right" vertical="center"/>
    </xf>
    <xf numFmtId="1" fontId="0" fillId="3" borderId="29" xfId="0" applyNumberFormat="1" applyFill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/>
    </xf>
    <xf numFmtId="2" fontId="2" fillId="0" borderId="32" xfId="0" applyNumberFormat="1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2" fontId="0" fillId="3" borderId="33" xfId="0" applyNumberFormat="1" applyFill="1" applyBorder="1" applyAlignment="1">
      <alignment horizontal="right" vertical="center"/>
    </xf>
    <xf numFmtId="2" fontId="0" fillId="3" borderId="35" xfId="0" applyNumberFormat="1" applyFill="1" applyBorder="1" applyAlignment="1">
      <alignment horizontal="right" vertical="center"/>
    </xf>
    <xf numFmtId="2" fontId="0" fillId="3" borderId="16" xfId="0" applyNumberFormat="1" applyFill="1" applyBorder="1" applyAlignment="1">
      <alignment horizontal="right" vertical="center"/>
    </xf>
    <xf numFmtId="2" fontId="0" fillId="3" borderId="30" xfId="0" applyNumberFormat="1" applyFill="1" applyBorder="1" applyAlignment="1">
      <alignment horizontal="right" vertical="center"/>
    </xf>
    <xf numFmtId="0" fontId="0" fillId="6" borderId="19" xfId="0" applyFill="1" applyBorder="1" applyAlignment="1">
      <alignment horizontal="right" vertical="center"/>
    </xf>
    <xf numFmtId="2" fontId="0" fillId="6" borderId="0" xfId="0" applyNumberFormat="1" applyFill="1" applyBorder="1" applyAlignment="1">
      <alignment horizontal="right" vertical="center"/>
    </xf>
    <xf numFmtId="2" fontId="0" fillId="6" borderId="5" xfId="0" applyNumberFormat="1" applyFill="1" applyBorder="1" applyAlignment="1">
      <alignment horizontal="right" vertical="center"/>
    </xf>
    <xf numFmtId="2" fontId="0" fillId="6" borderId="11" xfId="0" applyNumberFormat="1" applyFill="1" applyBorder="1" applyAlignment="1">
      <alignment horizontal="right" vertical="center"/>
    </xf>
    <xf numFmtId="2" fontId="0" fillId="6" borderId="20" xfId="0" applyNumberFormat="1" applyFill="1" applyBorder="1" applyAlignment="1">
      <alignment horizontal="right" vertical="center"/>
    </xf>
    <xf numFmtId="2" fontId="0" fillId="7" borderId="34" xfId="0" applyNumberFormat="1" applyFill="1" applyBorder="1" applyAlignment="1">
      <alignment horizontal="right" vertical="center"/>
    </xf>
    <xf numFmtId="2" fontId="0" fillId="7" borderId="36" xfId="0" applyNumberFormat="1" applyFill="1" applyBorder="1" applyAlignment="1">
      <alignment horizontal="right" vertical="center"/>
    </xf>
    <xf numFmtId="2" fontId="0" fillId="7" borderId="23" xfId="0" applyNumberFormat="1" applyFill="1" applyBorder="1" applyAlignment="1">
      <alignment horizontal="right" vertical="center"/>
    </xf>
    <xf numFmtId="2" fontId="0" fillId="7" borderId="25" xfId="0" applyNumberFormat="1" applyFill="1" applyBorder="1" applyAlignment="1">
      <alignment horizontal="right" vertical="center"/>
    </xf>
    <xf numFmtId="0" fontId="0" fillId="6" borderId="11" xfId="0" applyFill="1" applyBorder="1" applyAlignment="1">
      <alignment horizontal="right" vertical="center"/>
    </xf>
    <xf numFmtId="1" fontId="0" fillId="6" borderId="11" xfId="0" applyNumberFormat="1" applyFill="1" applyBorder="1" applyAlignment="1">
      <alignment horizontal="right" vertical="center"/>
    </xf>
    <xf numFmtId="1" fontId="0" fillId="6" borderId="6" xfId="0" applyNumberFormat="1" applyFill="1" applyBorder="1" applyAlignment="1">
      <alignment horizontal="right" vertical="center"/>
    </xf>
    <xf numFmtId="0" fontId="0" fillId="6" borderId="20" xfId="0" applyFill="1" applyBorder="1" applyAlignment="1">
      <alignment horizontal="right" vertical="center"/>
    </xf>
    <xf numFmtId="1" fontId="0" fillId="6" borderId="0" xfId="0" applyNumberFormat="1" applyFill="1" applyBorder="1" applyAlignment="1">
      <alignment horizontal="right" vertical="center"/>
    </xf>
    <xf numFmtId="1" fontId="0" fillId="6" borderId="5" xfId="0" applyNumberFormat="1" applyFill="1" applyBorder="1" applyAlignment="1">
      <alignment horizontal="right" vertical="center"/>
    </xf>
    <xf numFmtId="0" fontId="0" fillId="5" borderId="15" xfId="0" applyFill="1" applyBorder="1" applyAlignment="1">
      <alignment horizontal="right" vertical="center"/>
    </xf>
    <xf numFmtId="0" fontId="0" fillId="5" borderId="16" xfId="0" applyFill="1" applyBorder="1" applyAlignment="1">
      <alignment horizontal="right" vertical="center"/>
    </xf>
    <xf numFmtId="1" fontId="0" fillId="5" borderId="16" xfId="0" applyNumberFormat="1" applyFill="1" applyBorder="1" applyAlignment="1">
      <alignment horizontal="right" vertical="center"/>
    </xf>
    <xf numFmtId="1" fontId="0" fillId="5" borderId="17" xfId="0" applyNumberFormat="1" applyFill="1" applyBorder="1" applyAlignment="1">
      <alignment horizontal="right" vertical="center"/>
    </xf>
    <xf numFmtId="0" fontId="0" fillId="5" borderId="30" xfId="0" applyFill="1" applyBorder="1" applyAlignment="1">
      <alignment horizontal="right" vertical="center"/>
    </xf>
    <xf numFmtId="2" fontId="1" fillId="0" borderId="23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1" fontId="1" fillId="0" borderId="38" xfId="0" applyNumberFormat="1" applyFont="1" applyBorder="1" applyAlignment="1">
      <alignment horizontal="right" vertical="center"/>
    </xf>
    <xf numFmtId="1" fontId="0" fillId="0" borderId="38" xfId="0" applyNumberFormat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1" fontId="0" fillId="0" borderId="39" xfId="0" applyNumberFormat="1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2" fontId="0" fillId="0" borderId="21" xfId="0" applyNumberForma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1" fontId="0" fillId="3" borderId="33" xfId="0" applyNumberFormat="1" applyFill="1" applyBorder="1" applyAlignment="1">
      <alignment horizontal="right" vertical="center"/>
    </xf>
    <xf numFmtId="1" fontId="0" fillId="3" borderId="17" xfId="0" applyNumberFormat="1" applyFill="1" applyBorder="1" applyAlignment="1">
      <alignment horizontal="right" vertical="center"/>
    </xf>
    <xf numFmtId="1" fontId="0" fillId="3" borderId="16" xfId="0" applyNumberFormat="1" applyFill="1" applyBorder="1" applyAlignment="1">
      <alignment horizontal="right" vertical="center"/>
    </xf>
    <xf numFmtId="1" fontId="0" fillId="3" borderId="35" xfId="0" applyNumberFormat="1" applyFill="1" applyBorder="1" applyAlignment="1">
      <alignment horizontal="right" vertical="center"/>
    </xf>
    <xf numFmtId="1" fontId="0" fillId="3" borderId="30" xfId="0" applyNumberFormat="1" applyFill="1" applyBorder="1" applyAlignment="1">
      <alignment horizontal="right" vertical="center"/>
    </xf>
    <xf numFmtId="1" fontId="0" fillId="5" borderId="34" xfId="0" applyNumberFormat="1" applyFill="1" applyBorder="1" applyAlignment="1">
      <alignment horizontal="right" vertical="center"/>
    </xf>
    <xf numFmtId="1" fontId="0" fillId="5" borderId="24" xfId="0" applyNumberFormat="1" applyFill="1" applyBorder="1" applyAlignment="1">
      <alignment horizontal="right" vertical="center"/>
    </xf>
    <xf numFmtId="1" fontId="0" fillId="5" borderId="23" xfId="0" applyNumberFormat="1" applyFill="1" applyBorder="1" applyAlignment="1">
      <alignment horizontal="right" vertical="center"/>
    </xf>
    <xf numFmtId="1" fontId="0" fillId="5" borderId="36" xfId="0" applyNumberFormat="1" applyFill="1" applyBorder="1" applyAlignment="1">
      <alignment horizontal="right" vertical="center"/>
    </xf>
    <xf numFmtId="0" fontId="0" fillId="5" borderId="25" xfId="0" applyFill="1" applyBorder="1" applyAlignment="1">
      <alignment horizontal="right" vertical="center"/>
    </xf>
    <xf numFmtId="0" fontId="0" fillId="3" borderId="42" xfId="0" applyFill="1" applyBorder="1" applyAlignment="1">
      <alignment horizontal="right" vertical="center"/>
    </xf>
    <xf numFmtId="0" fontId="0" fillId="6" borderId="43" xfId="0" applyFill="1" applyBorder="1" applyAlignment="1">
      <alignment horizontal="right" vertical="center"/>
    </xf>
    <xf numFmtId="0" fontId="0" fillId="7" borderId="44" xfId="0" applyFill="1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0" fillId="5" borderId="44" xfId="0" applyFill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1" fontId="0" fillId="0" borderId="34" xfId="0" applyNumberFormat="1" applyBorder="1" applyAlignment="1">
      <alignment horizontal="right" vertical="center"/>
    </xf>
    <xf numFmtId="1" fontId="0" fillId="0" borderId="31" xfId="0" applyNumberForma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1" fontId="0" fillId="0" borderId="46" xfId="0" applyNumberFormat="1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1" fontId="0" fillId="0" borderId="49" xfId="0" applyNumberFormat="1" applyBorder="1" applyAlignment="1">
      <alignment horizontal="right" vertical="center"/>
    </xf>
    <xf numFmtId="0" fontId="4" fillId="0" borderId="4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3" fillId="0" borderId="49" xfId="0" applyFont="1" applyBorder="1" applyAlignment="1">
      <alignment horizontal="right" vertical="center"/>
    </xf>
    <xf numFmtId="1" fontId="0" fillId="3" borderId="45" xfId="0" applyNumberFormat="1" applyFill="1" applyBorder="1" applyAlignment="1">
      <alignment horizontal="right" vertical="center"/>
    </xf>
    <xf numFmtId="1" fontId="0" fillId="6" borderId="49" xfId="0" applyNumberFormat="1" applyFill="1" applyBorder="1" applyAlignment="1">
      <alignment horizontal="right" vertical="center"/>
    </xf>
    <xf numFmtId="1" fontId="0" fillId="5" borderId="48" xfId="0" applyNumberFormat="1" applyFill="1" applyBorder="1" applyAlignment="1">
      <alignment horizontal="right" vertical="center"/>
    </xf>
    <xf numFmtId="1" fontId="1" fillId="0" borderId="51" xfId="0" applyNumberFormat="1" applyFont="1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1" fillId="0" borderId="50" xfId="0" applyFont="1" applyBorder="1" applyAlignment="1">
      <alignment horizontal="right" vertical="center"/>
    </xf>
    <xf numFmtId="2" fontId="2" fillId="0" borderId="50" xfId="0" applyNumberFormat="1" applyFont="1" applyBorder="1" applyAlignment="1">
      <alignment horizontal="right" vertical="center"/>
    </xf>
    <xf numFmtId="2" fontId="0" fillId="3" borderId="53" xfId="0" applyNumberFormat="1" applyFill="1" applyBorder="1" applyAlignment="1">
      <alignment horizontal="right" vertical="center"/>
    </xf>
    <xf numFmtId="2" fontId="0" fillId="6" borderId="54" xfId="0" applyNumberFormat="1" applyFill="1" applyBorder="1" applyAlignment="1">
      <alignment horizontal="right" vertical="center"/>
    </xf>
    <xf numFmtId="2" fontId="0" fillId="7" borderId="55" xfId="0" applyNumberFormat="1" applyFill="1" applyBorder="1" applyAlignment="1">
      <alignment horizontal="right" vertical="center"/>
    </xf>
    <xf numFmtId="0" fontId="1" fillId="0" borderId="55" xfId="0" applyFont="1" applyBorder="1" applyAlignment="1">
      <alignment horizontal="right" vertical="center"/>
    </xf>
    <xf numFmtId="1" fontId="0" fillId="3" borderId="53" xfId="0" applyNumberFormat="1" applyFill="1" applyBorder="1" applyAlignment="1">
      <alignment horizontal="right" vertical="center"/>
    </xf>
    <xf numFmtId="1" fontId="0" fillId="6" borderId="54" xfId="0" applyNumberFormat="1" applyFill="1" applyBorder="1" applyAlignment="1">
      <alignment horizontal="right" vertical="center"/>
    </xf>
    <xf numFmtId="1" fontId="0" fillId="5" borderId="55" xfId="0" applyNumberFormat="1" applyFill="1" applyBorder="1" applyAlignment="1">
      <alignment horizontal="right" vertical="center"/>
    </xf>
    <xf numFmtId="1" fontId="0" fillId="0" borderId="55" xfId="0" applyNumberForma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0" fontId="0" fillId="0" borderId="56" xfId="0" applyBorder="1" applyAlignment="1">
      <alignment horizontal="right" vertical="center"/>
    </xf>
    <xf numFmtId="1" fontId="0" fillId="5" borderId="11" xfId="0" applyNumberFormat="1" applyFill="1" applyBorder="1" applyAlignment="1">
      <alignment horizontal="right" vertical="center"/>
    </xf>
    <xf numFmtId="1" fontId="0" fillId="5" borderId="49" xfId="0" applyNumberFormat="1" applyFill="1" applyBorder="1" applyAlignment="1">
      <alignment horizontal="right" vertical="center"/>
    </xf>
    <xf numFmtId="1" fontId="0" fillId="5" borderId="6" xfId="0" applyNumberFormat="1" applyFill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2" fontId="2" fillId="0" borderId="33" xfId="0" applyNumberFormat="1" applyFont="1" applyBorder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right" vertical="center"/>
    </xf>
    <xf numFmtId="2" fontId="1" fillId="0" borderId="25" xfId="0" applyNumberFormat="1" applyFont="1" applyBorder="1" applyAlignment="1">
      <alignment horizontal="right" vertical="center"/>
    </xf>
    <xf numFmtId="8" fontId="1" fillId="0" borderId="0" xfId="0" applyNumberFormat="1" applyFont="1" applyBorder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2" fontId="0" fillId="3" borderId="15" xfId="0" applyNumberFormat="1" applyFill="1" applyBorder="1" applyAlignment="1">
      <alignment horizontal="right" vertical="center"/>
    </xf>
    <xf numFmtId="2" fontId="0" fillId="3" borderId="18" xfId="0" applyNumberFormat="1" applyFill="1" applyBorder="1" applyAlignment="1">
      <alignment horizontal="right" vertical="center"/>
    </xf>
    <xf numFmtId="2" fontId="0" fillId="6" borderId="19" xfId="0" applyNumberFormat="1" applyFill="1" applyBorder="1" applyAlignment="1">
      <alignment horizontal="right" vertical="center"/>
    </xf>
    <xf numFmtId="2" fontId="0" fillId="6" borderId="32" xfId="0" applyNumberFormat="1" applyFill="1" applyBorder="1" applyAlignment="1">
      <alignment horizontal="right" vertical="center"/>
    </xf>
    <xf numFmtId="2" fontId="0" fillId="7" borderId="22" xfId="0" applyNumberFormat="1" applyFill="1" applyBorder="1" applyAlignment="1">
      <alignment horizontal="right" vertical="center"/>
    </xf>
    <xf numFmtId="2" fontId="0" fillId="7" borderId="31" xfId="0" applyNumberFormat="1" applyFill="1" applyBorder="1" applyAlignment="1">
      <alignment horizontal="right" vertical="center"/>
    </xf>
    <xf numFmtId="2" fontId="1" fillId="0" borderId="59" xfId="0" applyNumberFormat="1" applyFont="1" applyBorder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8" borderId="0" xfId="0" applyFill="1" applyAlignment="1">
      <alignment horizontal="left" vertical="center"/>
    </xf>
    <xf numFmtId="0" fontId="0" fillId="8" borderId="0" xfId="0" applyFill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0" fontId="0" fillId="0" borderId="62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2" fontId="1" fillId="0" borderId="27" xfId="0" applyNumberFormat="1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2" fontId="2" fillId="0" borderId="23" xfId="0" applyNumberFormat="1" applyFont="1" applyBorder="1" applyAlignment="1">
      <alignment horizontal="right" vertical="center"/>
    </xf>
    <xf numFmtId="1" fontId="0" fillId="3" borderId="64" xfId="0" applyNumberFormat="1" applyFill="1" applyBorder="1" applyAlignment="1">
      <alignment horizontal="right" vertical="center"/>
    </xf>
    <xf numFmtId="1" fontId="0" fillId="5" borderId="33" xfId="0" applyNumberFormat="1" applyFill="1" applyBorder="1" applyAlignment="1">
      <alignment horizontal="right" vertical="center"/>
    </xf>
    <xf numFmtId="1" fontId="0" fillId="0" borderId="65" xfId="0" applyNumberFormat="1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1" fontId="0" fillId="0" borderId="43" xfId="0" applyNumberFormat="1" applyBorder="1" applyAlignment="1">
      <alignment horizontal="right" vertical="center"/>
    </xf>
    <xf numFmtId="0" fontId="3" fillId="0" borderId="43" xfId="0" applyFont="1" applyBorder="1" applyAlignment="1">
      <alignment horizontal="center" vertical="center"/>
    </xf>
    <xf numFmtId="1" fontId="0" fillId="3" borderId="61" xfId="0" applyNumberFormat="1" applyFill="1" applyBorder="1" applyAlignment="1">
      <alignment horizontal="right" vertical="center"/>
    </xf>
    <xf numFmtId="1" fontId="0" fillId="6" borderId="43" xfId="0" applyNumberFormat="1" applyFill="1" applyBorder="1" applyAlignment="1">
      <alignment horizontal="right" vertical="center"/>
    </xf>
    <xf numFmtId="1" fontId="0" fillId="5" borderId="42" xfId="0" applyNumberFormat="1" applyFill="1" applyBorder="1" applyAlignment="1">
      <alignment horizontal="right" vertical="center"/>
    </xf>
    <xf numFmtId="1" fontId="0" fillId="0" borderId="68" xfId="0" applyNumberFormat="1" applyBorder="1" applyAlignment="1">
      <alignment horizontal="right" vertical="center"/>
    </xf>
    <xf numFmtId="0" fontId="0" fillId="0" borderId="69" xfId="0" applyBorder="1" applyAlignment="1">
      <alignment horizontal="right" vertical="center"/>
    </xf>
    <xf numFmtId="0" fontId="1" fillId="0" borderId="45" xfId="0" applyFont="1" applyBorder="1" applyAlignment="1">
      <alignment horizontal="right" vertical="center"/>
    </xf>
    <xf numFmtId="2" fontId="0" fillId="6" borderId="1" xfId="0" applyNumberFormat="1" applyFill="1" applyBorder="1" applyAlignment="1">
      <alignment horizontal="right" vertical="center"/>
    </xf>
    <xf numFmtId="2" fontId="0" fillId="7" borderId="1" xfId="0" applyNumberFormat="1" applyFill="1" applyBorder="1" applyAlignment="1">
      <alignment horizontal="right" vertical="center"/>
    </xf>
    <xf numFmtId="2" fontId="0" fillId="3" borderId="38" xfId="0" applyNumberFormat="1" applyFill="1" applyBorder="1" applyAlignment="1">
      <alignment horizontal="right" vertical="center"/>
    </xf>
    <xf numFmtId="2" fontId="0" fillId="3" borderId="39" xfId="0" applyNumberFormat="1" applyFill="1" applyBorder="1" applyAlignment="1">
      <alignment horizontal="right" vertical="center"/>
    </xf>
    <xf numFmtId="2" fontId="0" fillId="6" borderId="71" xfId="0" applyNumberFormat="1" applyFill="1" applyBorder="1" applyAlignment="1">
      <alignment horizontal="right" vertical="center"/>
    </xf>
    <xf numFmtId="2" fontId="0" fillId="7" borderId="71" xfId="0" applyNumberFormat="1" applyFill="1" applyBorder="1" applyAlignment="1">
      <alignment horizontal="right" vertical="center"/>
    </xf>
    <xf numFmtId="2" fontId="1" fillId="0" borderId="21" xfId="0" applyNumberFormat="1" applyFont="1" applyBorder="1" applyAlignment="1">
      <alignment horizontal="right" vertical="center"/>
    </xf>
    <xf numFmtId="2" fontId="1" fillId="0" borderId="41" xfId="0" applyNumberFormat="1" applyFont="1" applyBorder="1" applyAlignment="1">
      <alignment horizontal="right" vertical="center"/>
    </xf>
    <xf numFmtId="2" fontId="0" fillId="3" borderId="66" xfId="0" applyNumberFormat="1" applyFill="1" applyBorder="1" applyAlignment="1">
      <alignment horizontal="right" vertical="center"/>
    </xf>
    <xf numFmtId="2" fontId="0" fillId="6" borderId="13" xfId="0" applyNumberFormat="1" applyFill="1" applyBorder="1" applyAlignment="1">
      <alignment horizontal="right" vertical="center"/>
    </xf>
    <xf numFmtId="2" fontId="0" fillId="7" borderId="13" xfId="0" applyNumberFormat="1" applyFill="1" applyBorder="1" applyAlignment="1">
      <alignment horizontal="right" vertical="center"/>
    </xf>
    <xf numFmtId="2" fontId="1" fillId="0" borderId="67" xfId="0" applyNumberFormat="1" applyFont="1" applyBorder="1" applyAlignment="1">
      <alignment horizontal="right" vertical="center"/>
    </xf>
    <xf numFmtId="2" fontId="0" fillId="3" borderId="46" xfId="0" applyNumberFormat="1" applyFill="1" applyBorder="1" applyAlignment="1">
      <alignment horizontal="right" vertical="center"/>
    </xf>
    <xf numFmtId="2" fontId="0" fillId="6" borderId="14" xfId="0" applyNumberFormat="1" applyFill="1" applyBorder="1" applyAlignment="1">
      <alignment horizontal="right" vertical="center"/>
    </xf>
    <xf numFmtId="2" fontId="0" fillId="7" borderId="14" xfId="0" applyNumberFormat="1" applyFill="1" applyBorder="1" applyAlignment="1">
      <alignment horizontal="right" vertical="center"/>
    </xf>
    <xf numFmtId="2" fontId="1" fillId="0" borderId="47" xfId="0" applyNumberFormat="1" applyFont="1" applyBorder="1" applyAlignment="1">
      <alignment horizontal="right" vertical="center"/>
    </xf>
    <xf numFmtId="2" fontId="0" fillId="3" borderId="68" xfId="0" applyNumberFormat="1" applyFill="1" applyBorder="1" applyAlignment="1">
      <alignment horizontal="right" vertical="center"/>
    </xf>
    <xf numFmtId="2" fontId="0" fillId="6" borderId="72" xfId="0" applyNumberFormat="1" applyFill="1" applyBorder="1" applyAlignment="1">
      <alignment horizontal="right" vertical="center"/>
    </xf>
    <xf numFmtId="2" fontId="0" fillId="7" borderId="72" xfId="0" applyNumberFormat="1" applyFill="1" applyBorder="1" applyAlignment="1">
      <alignment horizontal="right" vertical="center"/>
    </xf>
    <xf numFmtId="2" fontId="1" fillId="0" borderId="70" xfId="0" applyNumberFormat="1" applyFont="1" applyBorder="1" applyAlignment="1">
      <alignment horizontal="right" vertical="center"/>
    </xf>
    <xf numFmtId="2" fontId="0" fillId="3" borderId="51" xfId="0" applyNumberFormat="1" applyFill="1" applyBorder="1" applyAlignment="1">
      <alignment horizontal="right" vertical="center"/>
    </xf>
    <xf numFmtId="2" fontId="0" fillId="6" borderId="58" xfId="0" applyNumberFormat="1" applyFill="1" applyBorder="1" applyAlignment="1">
      <alignment horizontal="right" vertical="center"/>
    </xf>
    <xf numFmtId="2" fontId="0" fillId="7" borderId="58" xfId="0" applyNumberFormat="1" applyFill="1" applyBorder="1" applyAlignment="1">
      <alignment horizontal="right" vertical="center"/>
    </xf>
    <xf numFmtId="2" fontId="1" fillId="0" borderId="52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2" fontId="1" fillId="0" borderId="16" xfId="0" applyNumberFormat="1" applyFont="1" applyBorder="1" applyAlignment="1">
      <alignment horizontal="right" vertical="center"/>
    </xf>
    <xf numFmtId="2" fontId="1" fillId="0" borderId="35" xfId="0" applyNumberFormat="1" applyFont="1" applyBorder="1" applyAlignment="1">
      <alignment horizontal="right" vertical="center"/>
    </xf>
    <xf numFmtId="2" fontId="1" fillId="0" borderId="42" xfId="0" applyNumberFormat="1" applyFont="1" applyBorder="1" applyAlignment="1">
      <alignment horizontal="right" vertical="center"/>
    </xf>
    <xf numFmtId="2" fontId="1" fillId="0" borderId="17" xfId="0" applyNumberFormat="1" applyFont="1" applyBorder="1" applyAlignment="1">
      <alignment horizontal="right" vertical="center"/>
    </xf>
    <xf numFmtId="2" fontId="1" fillId="0" borderId="30" xfId="0" applyNumberFormat="1" applyFont="1" applyBorder="1" applyAlignment="1">
      <alignment horizontal="right" vertical="center"/>
    </xf>
    <xf numFmtId="2" fontId="2" fillId="0" borderId="27" xfId="0" applyNumberFormat="1" applyFont="1" applyBorder="1" applyAlignment="1">
      <alignment horizontal="right" vertical="center"/>
    </xf>
    <xf numFmtId="2" fontId="2" fillId="0" borderId="63" xfId="0" applyNumberFormat="1" applyFont="1" applyBorder="1" applyAlignment="1">
      <alignment horizontal="right" vertical="center"/>
    </xf>
    <xf numFmtId="2" fontId="2" fillId="0" borderId="61" xfId="0" applyNumberFormat="1" applyFont="1" applyBorder="1" applyAlignment="1">
      <alignment horizontal="right" vertical="center"/>
    </xf>
    <xf numFmtId="2" fontId="2" fillId="0" borderId="28" xfId="0" applyNumberFormat="1" applyFont="1" applyBorder="1" applyAlignment="1">
      <alignment horizontal="right" vertical="center"/>
    </xf>
    <xf numFmtId="2" fontId="2" fillId="0" borderId="29" xfId="0" applyNumberFormat="1" applyFont="1" applyBorder="1" applyAlignment="1">
      <alignment horizontal="right" vertical="center"/>
    </xf>
    <xf numFmtId="2" fontId="2" fillId="0" borderId="45" xfId="0" applyNumberFormat="1" applyFont="1" applyBorder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3" borderId="68" xfId="0" applyFill="1" applyBorder="1" applyAlignment="1">
      <alignment horizontal="right" vertical="center"/>
    </xf>
    <xf numFmtId="0" fontId="0" fillId="6" borderId="72" xfId="0" applyFill="1" applyBorder="1" applyAlignment="1">
      <alignment horizontal="right" vertical="center"/>
    </xf>
    <xf numFmtId="0" fontId="0" fillId="7" borderId="70" xfId="0" applyFill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1" fontId="0" fillId="0" borderId="75" xfId="0" applyNumberFormat="1" applyBorder="1" applyAlignment="1">
      <alignment horizontal="right" vertical="center"/>
    </xf>
    <xf numFmtId="1" fontId="0" fillId="5" borderId="25" xfId="0" applyNumberFormat="1" applyFill="1" applyBorder="1" applyAlignment="1">
      <alignment horizontal="right" vertical="center"/>
    </xf>
    <xf numFmtId="1" fontId="0" fillId="6" borderId="29" xfId="0" applyNumberFormat="1" applyFill="1" applyBorder="1" applyAlignment="1">
      <alignment horizontal="right" vertical="center"/>
    </xf>
    <xf numFmtId="1" fontId="1" fillId="0" borderId="46" xfId="0" applyNumberFormat="1" applyFon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0" fontId="0" fillId="3" borderId="61" xfId="0" applyFill="1" applyBorder="1" applyAlignment="1">
      <alignment horizontal="right" vertical="center"/>
    </xf>
    <xf numFmtId="0" fontId="0" fillId="5" borderId="42" xfId="0" applyFill="1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0" fillId="0" borderId="61" xfId="0" applyBorder="1" applyAlignment="1">
      <alignment horizontal="right" vertical="center"/>
    </xf>
    <xf numFmtId="0" fontId="2" fillId="0" borderId="44" xfId="0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" fontId="0" fillId="5" borderId="0" xfId="0" applyNumberFormat="1" applyFill="1" applyBorder="1" applyAlignment="1">
      <alignment horizontal="right" vertical="center"/>
    </xf>
    <xf numFmtId="0" fontId="3" fillId="0" borderId="73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45" xfId="0" applyFont="1" applyBorder="1" applyAlignment="1">
      <alignment horizontal="right" vertical="center"/>
    </xf>
    <xf numFmtId="0" fontId="3" fillId="0" borderId="63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0" xfId="0" applyFont="1" applyAlignment="1">
      <alignment vertical="center"/>
    </xf>
    <xf numFmtId="1" fontId="0" fillId="0" borderId="32" xfId="0" applyNumberFormat="1" applyBorder="1" applyAlignment="1">
      <alignment horizontal="right" vertical="center"/>
    </xf>
    <xf numFmtId="0" fontId="3" fillId="0" borderId="77" xfId="0" applyFont="1" applyBorder="1" applyAlignment="1">
      <alignment horizontal="right" vertical="center"/>
    </xf>
    <xf numFmtId="1" fontId="0" fillId="5" borderId="31" xfId="0" applyNumberFormat="1" applyFill="1" applyBorder="1" applyAlignment="1">
      <alignment horizontal="right" vertical="center"/>
    </xf>
    <xf numFmtId="1" fontId="0" fillId="3" borderId="77" xfId="0" applyNumberFormat="1" applyFill="1" applyBorder="1" applyAlignment="1">
      <alignment horizontal="right" vertical="center"/>
    </xf>
    <xf numFmtId="1" fontId="0" fillId="6" borderId="77" xfId="0" applyNumberFormat="1" applyFill="1" applyBorder="1" applyAlignment="1">
      <alignment horizontal="right" vertical="center"/>
    </xf>
    <xf numFmtId="1" fontId="0" fillId="0" borderId="78" xfId="0" applyNumberFormat="1" applyBorder="1" applyAlignment="1">
      <alignment horizontal="right" vertical="center"/>
    </xf>
    <xf numFmtId="0" fontId="0" fillId="0" borderId="79" xfId="0" applyBorder="1" applyAlignment="1">
      <alignment horizontal="right" vertical="center"/>
    </xf>
    <xf numFmtId="2" fontId="1" fillId="0" borderId="18" xfId="0" applyNumberFormat="1" applyFont="1" applyBorder="1" applyAlignment="1">
      <alignment horizontal="right" vertical="center"/>
    </xf>
    <xf numFmtId="2" fontId="2" fillId="0" borderId="77" xfId="0" applyNumberFormat="1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 wrapText="1"/>
    </xf>
    <xf numFmtId="2" fontId="0" fillId="7" borderId="80" xfId="0" applyNumberFormat="1" applyFill="1" applyBorder="1" applyAlignment="1">
      <alignment horizontal="right" vertical="center"/>
    </xf>
    <xf numFmtId="2" fontId="0" fillId="3" borderId="81" xfId="0" applyNumberFormat="1" applyFill="1" applyBorder="1" applyAlignment="1">
      <alignment horizontal="right" vertical="center"/>
    </xf>
    <xf numFmtId="2" fontId="0" fillId="6" borderId="81" xfId="0" applyNumberFormat="1" applyFill="1" applyBorder="1" applyAlignment="1">
      <alignment horizontal="right" vertical="center"/>
    </xf>
    <xf numFmtId="2" fontId="1" fillId="0" borderId="82" xfId="0" applyNumberFormat="1" applyFont="1" applyBorder="1" applyAlignment="1">
      <alignment horizontal="right" vertical="center"/>
    </xf>
    <xf numFmtId="0" fontId="0" fillId="7" borderId="74" xfId="0" applyFill="1" applyBorder="1" applyAlignment="1">
      <alignment horizontal="right" vertical="center"/>
    </xf>
    <xf numFmtId="0" fontId="0" fillId="3" borderId="83" xfId="0" applyFill="1" applyBorder="1" applyAlignment="1">
      <alignment horizontal="right" vertical="center"/>
    </xf>
    <xf numFmtId="0" fontId="0" fillId="6" borderId="83" xfId="0" applyFill="1" applyBorder="1" applyAlignment="1">
      <alignment horizontal="right" vertical="center"/>
    </xf>
    <xf numFmtId="0" fontId="0" fillId="0" borderId="84" xfId="0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1" fontId="0" fillId="6" borderId="28" xfId="0" applyNumberFormat="1" applyFill="1" applyBorder="1" applyAlignment="1">
      <alignment horizontal="right" vertical="center"/>
    </xf>
    <xf numFmtId="0" fontId="0" fillId="0" borderId="86" xfId="0" applyBorder="1" applyAlignment="1">
      <alignment horizontal="right" vertical="center"/>
    </xf>
    <xf numFmtId="0" fontId="0" fillId="0" borderId="87" xfId="0" applyBorder="1" applyAlignment="1">
      <alignment horizontal="right" vertical="center"/>
    </xf>
    <xf numFmtId="1" fontId="0" fillId="0" borderId="87" xfId="0" applyNumberFormat="1" applyBorder="1" applyAlignment="1">
      <alignment horizontal="right" vertical="center"/>
    </xf>
    <xf numFmtId="0" fontId="4" fillId="0" borderId="85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/>
    </xf>
    <xf numFmtId="1" fontId="0" fillId="5" borderId="87" xfId="0" applyNumberFormat="1" applyFill="1" applyBorder="1" applyAlignment="1">
      <alignment horizontal="right" vertical="center"/>
    </xf>
    <xf numFmtId="1" fontId="0" fillId="3" borderId="85" xfId="0" applyNumberFormat="1" applyFill="1" applyBorder="1" applyAlignment="1">
      <alignment horizontal="right" vertical="center"/>
    </xf>
    <xf numFmtId="1" fontId="0" fillId="6" borderId="87" xfId="0" applyNumberFormat="1" applyFill="1" applyBorder="1" applyAlignment="1">
      <alignment horizontal="right" vertical="center"/>
    </xf>
    <xf numFmtId="1" fontId="0" fillId="0" borderId="88" xfId="0" applyNumberFormat="1" applyBorder="1" applyAlignment="1">
      <alignment horizontal="right" vertical="center"/>
    </xf>
    <xf numFmtId="0" fontId="0" fillId="0" borderId="89" xfId="0" applyBorder="1" applyAlignment="1">
      <alignment horizontal="right" vertical="center"/>
    </xf>
    <xf numFmtId="164" fontId="1" fillId="0" borderId="28" xfId="0" applyNumberFormat="1" applyFont="1" applyBorder="1" applyAlignment="1">
      <alignment horizontal="right" vertical="center"/>
    </xf>
    <xf numFmtId="164" fontId="1" fillId="0" borderId="27" xfId="0" applyNumberFormat="1" applyFont="1" applyBorder="1" applyAlignment="1">
      <alignment horizontal="right" vertical="center"/>
    </xf>
    <xf numFmtId="164" fontId="1" fillId="0" borderId="45" xfId="0" applyNumberFormat="1" applyFont="1" applyBorder="1" applyAlignment="1">
      <alignment horizontal="right" vertical="center"/>
    </xf>
    <xf numFmtId="164" fontId="1" fillId="0" borderId="16" xfId="0" applyNumberFormat="1" applyFont="1" applyBorder="1" applyAlignment="1">
      <alignment horizontal="right" vertical="center"/>
    </xf>
    <xf numFmtId="164" fontId="1" fillId="0" borderId="35" xfId="0" applyNumberFormat="1" applyFont="1" applyBorder="1" applyAlignment="1">
      <alignment horizontal="right" vertical="center"/>
    </xf>
    <xf numFmtId="164" fontId="1" fillId="0" borderId="86" xfId="0" applyNumberFormat="1" applyFont="1" applyBorder="1" applyAlignment="1">
      <alignment horizontal="right" vertical="center"/>
    </xf>
    <xf numFmtId="164" fontId="1" fillId="0" borderId="17" xfId="0" applyNumberFormat="1" applyFont="1" applyBorder="1" applyAlignment="1">
      <alignment horizontal="right" vertical="center"/>
    </xf>
    <xf numFmtId="164" fontId="1" fillId="0" borderId="30" xfId="0" applyNumberFormat="1" applyFont="1" applyBorder="1" applyAlignment="1">
      <alignment horizontal="right" vertical="center"/>
    </xf>
    <xf numFmtId="164" fontId="2" fillId="0" borderId="24" xfId="0" applyNumberFormat="1" applyFont="1" applyBorder="1" applyAlignment="1">
      <alignment horizontal="right" vertical="center"/>
    </xf>
    <xf numFmtId="164" fontId="2" fillId="0" borderId="23" xfId="0" applyNumberFormat="1" applyFont="1" applyBorder="1" applyAlignment="1">
      <alignment horizontal="right" vertical="center"/>
    </xf>
    <xf numFmtId="164" fontId="2" fillId="0" borderId="45" xfId="0" applyNumberFormat="1" applyFont="1" applyBorder="1" applyAlignment="1">
      <alignment horizontal="right" vertical="center"/>
    </xf>
    <xf numFmtId="164" fontId="2" fillId="0" borderId="27" xfId="0" applyNumberFormat="1" applyFont="1" applyBorder="1" applyAlignment="1">
      <alignment horizontal="right" vertical="center"/>
    </xf>
    <xf numFmtId="164" fontId="2" fillId="0" borderId="63" xfId="0" applyNumberFormat="1" applyFont="1" applyBorder="1" applyAlignment="1">
      <alignment horizontal="right" vertical="center"/>
    </xf>
    <xf numFmtId="164" fontId="2" fillId="0" borderId="85" xfId="0" applyNumberFormat="1" applyFont="1" applyBorder="1" applyAlignment="1">
      <alignment horizontal="right" vertical="center"/>
    </xf>
    <xf numFmtId="164" fontId="2" fillId="0" borderId="28" xfId="0" applyNumberFormat="1" applyFont="1" applyBorder="1" applyAlignment="1">
      <alignment horizontal="right" vertical="center"/>
    </xf>
    <xf numFmtId="164" fontId="2" fillId="0" borderId="29" xfId="0" applyNumberFormat="1" applyFont="1" applyBorder="1" applyAlignment="1">
      <alignment horizontal="right" vertical="center"/>
    </xf>
    <xf numFmtId="164" fontId="0" fillId="7" borderId="37" xfId="0" applyNumberFormat="1" applyFill="1" applyBorder="1" applyAlignment="1">
      <alignment horizontal="right" vertical="center"/>
    </xf>
    <xf numFmtId="164" fontId="0" fillId="7" borderId="38" xfId="0" applyNumberFormat="1" applyFill="1" applyBorder="1" applyAlignment="1">
      <alignment horizontal="right" vertical="center"/>
    </xf>
    <xf numFmtId="164" fontId="0" fillId="7" borderId="51" xfId="0" applyNumberFormat="1" applyFill="1" applyBorder="1" applyAlignment="1">
      <alignment horizontal="right" vertical="center"/>
    </xf>
    <xf numFmtId="164" fontId="0" fillId="7" borderId="46" xfId="0" applyNumberFormat="1" applyFill="1" applyBorder="1" applyAlignment="1">
      <alignment horizontal="right" vertical="center"/>
    </xf>
    <xf numFmtId="164" fontId="0" fillId="7" borderId="66" xfId="0" applyNumberFormat="1" applyFill="1" applyBorder="1" applyAlignment="1">
      <alignment horizontal="right" vertical="center"/>
    </xf>
    <xf numFmtId="164" fontId="0" fillId="7" borderId="88" xfId="0" applyNumberFormat="1" applyFill="1" applyBorder="1" applyAlignment="1">
      <alignment horizontal="right" vertical="center"/>
    </xf>
    <xf numFmtId="164" fontId="0" fillId="7" borderId="39" xfId="0" applyNumberFormat="1" applyFill="1" applyBorder="1" applyAlignment="1">
      <alignment horizontal="right" vertical="center"/>
    </xf>
    <xf numFmtId="164" fontId="0" fillId="3" borderId="76" xfId="0" applyNumberFormat="1" applyFill="1" applyBorder="1" applyAlignment="1">
      <alignment horizontal="right" vertical="center"/>
    </xf>
    <xf numFmtId="164" fontId="0" fillId="3" borderId="1" xfId="0" applyNumberFormat="1" applyFill="1" applyBorder="1" applyAlignment="1">
      <alignment horizontal="right" vertical="center"/>
    </xf>
    <xf numFmtId="164" fontId="0" fillId="3" borderId="58" xfId="0" applyNumberFormat="1" applyFill="1" applyBorder="1" applyAlignment="1">
      <alignment horizontal="right" vertical="center"/>
    </xf>
    <xf numFmtId="164" fontId="0" fillId="3" borderId="14" xfId="0" applyNumberFormat="1" applyFill="1" applyBorder="1" applyAlignment="1">
      <alignment horizontal="right" vertical="center"/>
    </xf>
    <xf numFmtId="164" fontId="0" fillId="3" borderId="13" xfId="0" applyNumberFormat="1" applyFill="1" applyBorder="1" applyAlignment="1">
      <alignment horizontal="right" vertical="center"/>
    </xf>
    <xf numFmtId="164" fontId="0" fillId="3" borderId="90" xfId="0" applyNumberFormat="1" applyFill="1" applyBorder="1" applyAlignment="1">
      <alignment horizontal="right" vertical="center"/>
    </xf>
    <xf numFmtId="164" fontId="0" fillId="3" borderId="71" xfId="0" applyNumberFormat="1" applyFill="1" applyBorder="1" applyAlignment="1">
      <alignment horizontal="right" vertical="center"/>
    </xf>
    <xf numFmtId="164" fontId="0" fillId="6" borderId="76" xfId="0" applyNumberFormat="1" applyFill="1" applyBorder="1" applyAlignment="1">
      <alignment horizontal="right" vertical="center"/>
    </xf>
    <xf numFmtId="164" fontId="0" fillId="6" borderId="1" xfId="0" applyNumberFormat="1" applyFill="1" applyBorder="1" applyAlignment="1">
      <alignment horizontal="right" vertical="center"/>
    </xf>
    <xf numFmtId="164" fontId="0" fillId="6" borderId="58" xfId="0" applyNumberFormat="1" applyFill="1" applyBorder="1" applyAlignment="1">
      <alignment horizontal="right" vertical="center"/>
    </xf>
    <xf numFmtId="164" fontId="0" fillId="6" borderId="14" xfId="0" applyNumberFormat="1" applyFill="1" applyBorder="1" applyAlignment="1">
      <alignment horizontal="right" vertical="center"/>
    </xf>
    <xf numFmtId="164" fontId="0" fillId="6" borderId="13" xfId="0" applyNumberFormat="1" applyFill="1" applyBorder="1" applyAlignment="1">
      <alignment horizontal="right" vertical="center"/>
    </xf>
    <xf numFmtId="164" fontId="0" fillId="6" borderId="90" xfId="0" applyNumberFormat="1" applyFill="1" applyBorder="1" applyAlignment="1">
      <alignment horizontal="right" vertical="center"/>
    </xf>
    <xf numFmtId="164" fontId="0" fillId="6" borderId="71" xfId="0" applyNumberFormat="1" applyFill="1" applyBorder="1" applyAlignment="1">
      <alignment horizontal="right" vertical="center"/>
    </xf>
    <xf numFmtId="164" fontId="1" fillId="0" borderId="40" xfId="0" applyNumberFormat="1" applyFont="1" applyBorder="1" applyAlignment="1">
      <alignment horizontal="right" vertical="center"/>
    </xf>
    <xf numFmtId="164" fontId="1" fillId="0" borderId="21" xfId="0" applyNumberFormat="1" applyFont="1" applyBorder="1" applyAlignment="1">
      <alignment horizontal="right" vertical="center"/>
    </xf>
    <xf numFmtId="164" fontId="1" fillId="0" borderId="52" xfId="0" applyNumberFormat="1" applyFont="1" applyBorder="1" applyAlignment="1">
      <alignment horizontal="right" vertical="center"/>
    </xf>
    <xf numFmtId="164" fontId="1" fillId="0" borderId="47" xfId="0" applyNumberFormat="1" applyFont="1" applyBorder="1" applyAlignment="1">
      <alignment horizontal="right" vertical="center"/>
    </xf>
    <xf numFmtId="164" fontId="1" fillId="0" borderId="67" xfId="0" applyNumberFormat="1" applyFont="1" applyBorder="1" applyAlignment="1">
      <alignment horizontal="right" vertical="center"/>
    </xf>
    <xf numFmtId="164" fontId="1" fillId="0" borderId="91" xfId="0" applyNumberFormat="1" applyFont="1" applyBorder="1" applyAlignment="1">
      <alignment horizontal="right" vertical="center"/>
    </xf>
    <xf numFmtId="164" fontId="1" fillId="0" borderId="41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28" xfId="0" applyFont="1" applyBorder="1" applyAlignment="1">
      <alignment horizontal="center" vertical="center" wrapText="1"/>
    </xf>
    <xf numFmtId="164" fontId="0" fillId="0" borderId="0" xfId="0" applyNumberFormat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5" borderId="0" xfId="0" applyFill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/>
    </xf>
    <xf numFmtId="0" fontId="0" fillId="0" borderId="84" xfId="0" applyBorder="1" applyAlignment="1">
      <alignment horizontal="right" vertical="center" wrapText="1"/>
    </xf>
    <xf numFmtId="164" fontId="1" fillId="0" borderId="37" xfId="0" applyNumberFormat="1" applyFont="1" applyBorder="1" applyAlignment="1">
      <alignment horizontal="right" vertical="center"/>
    </xf>
    <xf numFmtId="164" fontId="1" fillId="0" borderId="38" xfId="0" applyNumberFormat="1" applyFont="1" applyBorder="1" applyAlignment="1">
      <alignment horizontal="right" vertical="center"/>
    </xf>
    <xf numFmtId="164" fontId="1" fillId="0" borderId="51" xfId="0" applyNumberFormat="1" applyFont="1" applyBorder="1" applyAlignment="1">
      <alignment horizontal="right" vertical="center"/>
    </xf>
    <xf numFmtId="164" fontId="1" fillId="0" borderId="46" xfId="0" applyNumberFormat="1" applyFont="1" applyBorder="1" applyAlignment="1">
      <alignment horizontal="right" vertical="center"/>
    </xf>
    <xf numFmtId="164" fontId="1" fillId="0" borderId="66" xfId="0" applyNumberFormat="1" applyFont="1" applyBorder="1" applyAlignment="1">
      <alignment horizontal="right" vertical="center"/>
    </xf>
    <xf numFmtId="164" fontId="1" fillId="0" borderId="88" xfId="0" applyNumberFormat="1" applyFont="1" applyBorder="1" applyAlignment="1">
      <alignment horizontal="right" vertical="center"/>
    </xf>
    <xf numFmtId="164" fontId="1" fillId="0" borderId="39" xfId="0" applyNumberFormat="1" applyFont="1" applyBorder="1" applyAlignment="1">
      <alignment horizontal="right" vertical="center"/>
    </xf>
    <xf numFmtId="164" fontId="1" fillId="0" borderId="57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1" fillId="0" borderId="2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2" fontId="0" fillId="6" borderId="79" xfId="0" applyNumberFormat="1" applyFill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71" xfId="0" applyNumberFormat="1" applyFont="1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8" fontId="1" fillId="0" borderId="0" xfId="1" applyNumberFormat="1" applyFont="1" applyBorder="1" applyAlignment="1">
      <alignment horizontal="right" vertical="center"/>
    </xf>
    <xf numFmtId="44" fontId="1" fillId="0" borderId="0" xfId="1" applyFont="1" applyBorder="1" applyAlignment="1">
      <alignment vertical="center"/>
    </xf>
    <xf numFmtId="164" fontId="1" fillId="0" borderId="24" xfId="0" applyNumberFormat="1" applyFont="1" applyBorder="1" applyAlignment="1">
      <alignment horizontal="right" vertical="center"/>
    </xf>
    <xf numFmtId="1" fontId="0" fillId="5" borderId="6" xfId="0" applyNumberFormat="1" applyFont="1" applyFill="1" applyBorder="1" applyAlignment="1">
      <alignment horizontal="right" vertical="center"/>
    </xf>
    <xf numFmtId="1" fontId="0" fillId="5" borderId="11" xfId="0" applyNumberFormat="1" applyFont="1" applyFill="1" applyBorder="1" applyAlignment="1">
      <alignment horizontal="right" vertical="center"/>
    </xf>
    <xf numFmtId="1" fontId="0" fillId="5" borderId="49" xfId="0" applyNumberFormat="1" applyFont="1" applyFill="1" applyBorder="1" applyAlignment="1">
      <alignment horizontal="right" vertical="center"/>
    </xf>
    <xf numFmtId="1" fontId="0" fillId="5" borderId="0" xfId="0" applyNumberFormat="1" applyFont="1" applyFill="1" applyBorder="1" applyAlignment="1">
      <alignment horizontal="right" vertical="center"/>
    </xf>
    <xf numFmtId="1" fontId="0" fillId="5" borderId="87" xfId="0" applyNumberFormat="1" applyFont="1" applyFill="1" applyBorder="1" applyAlignment="1">
      <alignment horizontal="right" vertical="center"/>
    </xf>
    <xf numFmtId="1" fontId="0" fillId="5" borderId="24" xfId="0" applyNumberFormat="1" applyFont="1" applyFill="1" applyBorder="1" applyAlignment="1">
      <alignment horizontal="right" vertical="center"/>
    </xf>
    <xf numFmtId="1" fontId="0" fillId="5" borderId="25" xfId="0" applyNumberFormat="1" applyFont="1" applyFill="1" applyBorder="1" applyAlignment="1">
      <alignment horizontal="right" vertical="center"/>
    </xf>
    <xf numFmtId="1" fontId="0" fillId="3" borderId="28" xfId="0" applyNumberFormat="1" applyFont="1" applyFill="1" applyBorder="1" applyAlignment="1">
      <alignment horizontal="right" vertical="center"/>
    </xf>
    <xf numFmtId="1" fontId="0" fillId="3" borderId="27" xfId="0" applyNumberFormat="1" applyFont="1" applyFill="1" applyBorder="1" applyAlignment="1">
      <alignment horizontal="right" vertical="center"/>
    </xf>
    <xf numFmtId="1" fontId="0" fillId="3" borderId="45" xfId="0" applyNumberFormat="1" applyFont="1" applyFill="1" applyBorder="1" applyAlignment="1">
      <alignment horizontal="right" vertical="center"/>
    </xf>
    <xf numFmtId="1" fontId="0" fillId="3" borderId="64" xfId="0" applyNumberFormat="1" applyFont="1" applyFill="1" applyBorder="1" applyAlignment="1">
      <alignment horizontal="right" vertical="center"/>
    </xf>
    <xf numFmtId="1" fontId="0" fillId="3" borderId="85" xfId="0" applyNumberFormat="1" applyFont="1" applyFill="1" applyBorder="1" applyAlignment="1">
      <alignment horizontal="right" vertical="center"/>
    </xf>
    <xf numFmtId="1" fontId="0" fillId="3" borderId="29" xfId="0" applyNumberFormat="1" applyFont="1" applyFill="1" applyBorder="1" applyAlignment="1">
      <alignment horizontal="right" vertical="center"/>
    </xf>
    <xf numFmtId="1" fontId="0" fillId="6" borderId="6" xfId="0" applyNumberFormat="1" applyFont="1" applyFill="1" applyBorder="1" applyAlignment="1">
      <alignment horizontal="right" vertical="center"/>
    </xf>
    <xf numFmtId="1" fontId="0" fillId="6" borderId="11" xfId="0" applyNumberFormat="1" applyFont="1" applyFill="1" applyBorder="1" applyAlignment="1">
      <alignment horizontal="right" vertical="center"/>
    </xf>
    <xf numFmtId="1" fontId="0" fillId="6" borderId="49" xfId="0" applyNumberFormat="1" applyFont="1" applyFill="1" applyBorder="1" applyAlignment="1">
      <alignment horizontal="right" vertical="center"/>
    </xf>
    <xf numFmtId="1" fontId="0" fillId="6" borderId="0" xfId="0" applyNumberFormat="1" applyFont="1" applyFill="1" applyBorder="1" applyAlignment="1">
      <alignment horizontal="right" vertical="center"/>
    </xf>
    <xf numFmtId="1" fontId="0" fillId="6" borderId="87" xfId="0" applyNumberFormat="1" applyFont="1" applyFill="1" applyBorder="1" applyAlignment="1">
      <alignment horizontal="right" vertical="center"/>
    </xf>
    <xf numFmtId="1" fontId="0" fillId="6" borderId="28" xfId="0" applyNumberFormat="1" applyFont="1" applyFill="1" applyBorder="1" applyAlignment="1">
      <alignment horizontal="right" vertical="center"/>
    </xf>
    <xf numFmtId="1" fontId="0" fillId="6" borderId="29" xfId="0" applyNumberFormat="1" applyFont="1" applyFill="1" applyBorder="1" applyAlignment="1">
      <alignment horizontal="right" vertical="center"/>
    </xf>
    <xf numFmtId="1" fontId="0" fillId="0" borderId="46" xfId="0" applyNumberFormat="1" applyFont="1" applyBorder="1" applyAlignment="1">
      <alignment horizontal="right" vertical="center"/>
    </xf>
    <xf numFmtId="1" fontId="0" fillId="0" borderId="65" xfId="0" applyNumberFormat="1" applyFont="1" applyBorder="1" applyAlignment="1">
      <alignment horizontal="right" vertical="center"/>
    </xf>
    <xf numFmtId="1" fontId="0" fillId="0" borderId="88" xfId="0" applyNumberFormat="1" applyFont="1" applyBorder="1" applyAlignment="1">
      <alignment horizontal="right" vertical="center"/>
    </xf>
    <xf numFmtId="1" fontId="0" fillId="0" borderId="9" xfId="0" applyNumberFormat="1" applyFont="1" applyBorder="1" applyAlignment="1">
      <alignment horizontal="right" vertical="center"/>
    </xf>
    <xf numFmtId="1" fontId="0" fillId="0" borderId="75" xfId="0" applyNumberFormat="1" applyFont="1" applyBorder="1" applyAlignment="1">
      <alignment horizontal="right" vertical="center"/>
    </xf>
    <xf numFmtId="164" fontId="1" fillId="0" borderId="23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right" vertical="center"/>
    </xf>
    <xf numFmtId="164" fontId="1" fillId="0" borderId="60" xfId="0" applyNumberFormat="1" applyFont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  <xf numFmtId="0" fontId="0" fillId="0" borderId="68" xfId="0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164" fontId="1" fillId="0" borderId="50" xfId="0" applyNumberFormat="1" applyFont="1" applyBorder="1" applyAlignment="1">
      <alignment horizontal="right" vertical="center"/>
    </xf>
    <xf numFmtId="0" fontId="9" fillId="0" borderId="74" xfId="0" applyFont="1" applyBorder="1" applyAlignment="1">
      <alignment horizontal="right" vertical="center"/>
    </xf>
    <xf numFmtId="0" fontId="0" fillId="3" borderId="94" xfId="0" applyFill="1" applyBorder="1" applyAlignment="1">
      <alignment horizontal="right" vertical="center"/>
    </xf>
    <xf numFmtId="0" fontId="0" fillId="6" borderId="94" xfId="0" applyFill="1" applyBorder="1" applyAlignment="1">
      <alignment horizontal="right" vertical="center"/>
    </xf>
    <xf numFmtId="0" fontId="0" fillId="0" borderId="95" xfId="0" applyBorder="1" applyAlignment="1">
      <alignment horizontal="right" vertical="center"/>
    </xf>
    <xf numFmtId="0" fontId="0" fillId="0" borderId="95" xfId="0" applyBorder="1" applyAlignment="1">
      <alignment horizontal="right" vertical="center" wrapText="1"/>
    </xf>
    <xf numFmtId="164" fontId="1" fillId="0" borderId="59" xfId="0" applyNumberFormat="1" applyFont="1" applyBorder="1" applyAlignment="1">
      <alignment horizontal="right" vertical="center"/>
    </xf>
    <xf numFmtId="164" fontId="1" fillId="0" borderId="96" xfId="0" applyNumberFormat="1" applyFont="1" applyBorder="1" applyAlignment="1">
      <alignment horizontal="right" vertical="center"/>
    </xf>
    <xf numFmtId="164" fontId="1" fillId="0" borderId="25" xfId="0" applyNumberFormat="1" applyFont="1" applyBorder="1" applyAlignment="1">
      <alignment horizontal="right" vertical="center"/>
    </xf>
    <xf numFmtId="44" fontId="0" fillId="3" borderId="1" xfId="1" applyFont="1" applyFill="1" applyBorder="1" applyAlignment="1">
      <alignment horizontal="right" vertical="center"/>
    </xf>
    <xf numFmtId="44" fontId="0" fillId="3" borderId="71" xfId="1" applyFont="1" applyFill="1" applyBorder="1" applyAlignment="1">
      <alignment horizontal="right" vertical="center"/>
    </xf>
    <xf numFmtId="44" fontId="0" fillId="6" borderId="1" xfId="1" applyFont="1" applyFill="1" applyBorder="1" applyAlignment="1">
      <alignment horizontal="right" vertical="center"/>
    </xf>
    <xf numFmtId="44" fontId="0" fillId="6" borderId="71" xfId="1" applyFont="1" applyFill="1" applyBorder="1" applyAlignment="1">
      <alignment horizontal="right" vertical="center"/>
    </xf>
    <xf numFmtId="44" fontId="0" fillId="2" borderId="10" xfId="1" applyFont="1" applyFill="1" applyBorder="1" applyAlignment="1">
      <alignment horizontal="right" vertical="center"/>
    </xf>
    <xf numFmtId="44" fontId="0" fillId="2" borderId="4" xfId="1" applyFont="1" applyFill="1" applyBorder="1" applyAlignment="1">
      <alignment horizontal="right" vertical="center"/>
    </xf>
    <xf numFmtId="44" fontId="0" fillId="2" borderId="60" xfId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right" vertical="center"/>
    </xf>
    <xf numFmtId="44" fontId="0" fillId="0" borderId="0" xfId="1" applyFont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 vertical="center"/>
    </xf>
    <xf numFmtId="164" fontId="0" fillId="0" borderId="12" xfId="0" applyNumberFormat="1" applyFont="1" applyFill="1" applyBorder="1" applyAlignment="1">
      <alignment horizontal="right" vertical="center"/>
    </xf>
    <xf numFmtId="164" fontId="0" fillId="0" borderId="12" xfId="0" applyNumberFormat="1" applyFill="1" applyBorder="1" applyAlignment="1">
      <alignment horizontal="right" vertical="center"/>
    </xf>
    <xf numFmtId="164" fontId="0" fillId="0" borderId="75" xfId="0" applyNumberFormat="1" applyFill="1" applyBorder="1" applyAlignment="1">
      <alignment horizontal="right" vertical="center"/>
    </xf>
    <xf numFmtId="44" fontId="0" fillId="3" borderId="14" xfId="1" applyFont="1" applyFill="1" applyBorder="1" applyAlignment="1">
      <alignment horizontal="right" vertical="center"/>
    </xf>
    <xf numFmtId="44" fontId="0" fillId="6" borderId="14" xfId="1" applyFont="1" applyFill="1" applyBorder="1" applyAlignment="1">
      <alignment horizontal="right" vertical="center"/>
    </xf>
    <xf numFmtId="164" fontId="0" fillId="0" borderId="9" xfId="0" applyNumberFormat="1" applyFont="1" applyFill="1" applyBorder="1" applyAlignment="1">
      <alignment horizontal="right" vertical="center"/>
    </xf>
    <xf numFmtId="164" fontId="0" fillId="0" borderId="14" xfId="0" applyNumberFormat="1" applyFont="1" applyBorder="1" applyAlignment="1">
      <alignment horizontal="right" vertical="center"/>
    </xf>
    <xf numFmtId="0" fontId="0" fillId="3" borderId="72" xfId="0" applyFill="1" applyBorder="1" applyAlignment="1">
      <alignment horizontal="right" vertical="center"/>
    </xf>
    <xf numFmtId="0" fontId="0" fillId="2" borderId="69" xfId="0" applyFill="1" applyBorder="1" applyAlignment="1">
      <alignment horizontal="right" vertical="center"/>
    </xf>
    <xf numFmtId="0" fontId="0" fillId="0" borderId="70" xfId="0" applyBorder="1" applyAlignment="1">
      <alignment horizontal="right" vertical="center"/>
    </xf>
    <xf numFmtId="0" fontId="0" fillId="0" borderId="61" xfId="0" applyBorder="1" applyAlignment="1">
      <alignment horizontal="right" vertical="center" wrapText="1"/>
    </xf>
    <xf numFmtId="0" fontId="9" fillId="0" borderId="92" xfId="0" applyFont="1" applyBorder="1" applyAlignment="1">
      <alignment horizontal="right" vertical="center"/>
    </xf>
    <xf numFmtId="0" fontId="0" fillId="0" borderId="72" xfId="0" applyBorder="1" applyAlignment="1">
      <alignment horizontal="right" vertical="center"/>
    </xf>
    <xf numFmtId="0" fontId="0" fillId="7" borderId="65" xfId="0" applyFill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33" xfId="0" applyBorder="1" applyAlignment="1">
      <alignment vertical="center"/>
    </xf>
    <xf numFmtId="0" fontId="1" fillId="9" borderId="15" xfId="0" applyFont="1" applyFill="1" applyBorder="1" applyAlignment="1">
      <alignment vertical="center"/>
    </xf>
    <xf numFmtId="0" fontId="0" fillId="9" borderId="33" xfId="0" applyFill="1" applyBorder="1" applyAlignment="1">
      <alignment horizontal="right" vertical="center"/>
    </xf>
    <xf numFmtId="0" fontId="0" fillId="9" borderId="19" xfId="0" applyFill="1" applyBorder="1" applyAlignment="1">
      <alignment vertical="center"/>
    </xf>
    <xf numFmtId="0" fontId="0" fillId="9" borderId="0" xfId="0" applyFill="1" applyBorder="1" applyAlignment="1">
      <alignment horizontal="right" vertical="center"/>
    </xf>
    <xf numFmtId="0" fontId="0" fillId="9" borderId="22" xfId="0" applyFill="1" applyBorder="1" applyAlignment="1">
      <alignment vertical="center"/>
    </xf>
    <xf numFmtId="0" fontId="0" fillId="9" borderId="34" xfId="0" applyFill="1" applyBorder="1" applyAlignment="1">
      <alignment horizontal="right" vertical="center"/>
    </xf>
    <xf numFmtId="0" fontId="0" fillId="9" borderId="64" xfId="0" applyFill="1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8" fontId="1" fillId="0" borderId="64" xfId="0" applyNumberFormat="1" applyFont="1" applyBorder="1" applyAlignment="1">
      <alignment horizontal="right" vertical="center"/>
    </xf>
    <xf numFmtId="0" fontId="0" fillId="2" borderId="33" xfId="0" applyFill="1" applyBorder="1" applyAlignment="1">
      <alignment horizontal="right" vertical="center"/>
    </xf>
    <xf numFmtId="8" fontId="1" fillId="2" borderId="0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34" xfId="0" applyFill="1" applyBorder="1" applyAlignment="1">
      <alignment horizontal="right" vertical="center"/>
    </xf>
    <xf numFmtId="0" fontId="1" fillId="9" borderId="26" xfId="0" applyFont="1" applyFill="1" applyBorder="1" applyAlignment="1">
      <alignment vertical="center"/>
    </xf>
    <xf numFmtId="0" fontId="0" fillId="0" borderId="77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165" fontId="2" fillId="0" borderId="27" xfId="0" applyNumberFormat="1" applyFont="1" applyBorder="1" applyAlignment="1">
      <alignment horizontal="right" vertical="center"/>
    </xf>
    <xf numFmtId="165" fontId="1" fillId="0" borderId="21" xfId="0" applyNumberFormat="1" applyFont="1" applyBorder="1" applyAlignment="1">
      <alignment horizontal="right" vertical="center"/>
    </xf>
    <xf numFmtId="165" fontId="2" fillId="0" borderId="63" xfId="0" applyNumberFormat="1" applyFont="1" applyBorder="1" applyAlignment="1">
      <alignment horizontal="right" vertical="center"/>
    </xf>
    <xf numFmtId="164" fontId="0" fillId="0" borderId="7" xfId="0" applyNumberFormat="1" applyFont="1" applyFill="1" applyBorder="1" applyAlignment="1">
      <alignment horizontal="right" vertical="center"/>
    </xf>
    <xf numFmtId="164" fontId="0" fillId="0" borderId="13" xfId="0" applyNumberFormat="1" applyFont="1" applyBorder="1" applyAlignment="1">
      <alignment horizontal="right" vertical="center"/>
    </xf>
    <xf numFmtId="164" fontId="1" fillId="0" borderId="97" xfId="0" applyNumberFormat="1" applyFont="1" applyBorder="1" applyAlignment="1">
      <alignment horizontal="right" vertical="center"/>
    </xf>
    <xf numFmtId="164" fontId="0" fillId="0" borderId="99" xfId="0" applyNumberFormat="1" applyFont="1" applyFill="1" applyBorder="1" applyAlignment="1">
      <alignment horizontal="right" vertical="center"/>
    </xf>
    <xf numFmtId="164" fontId="0" fillId="0" borderId="100" xfId="0" applyNumberFormat="1" applyFont="1" applyBorder="1" applyAlignment="1">
      <alignment horizontal="right" vertical="center"/>
    </xf>
    <xf numFmtId="164" fontId="1" fillId="0" borderId="87" xfId="0" applyNumberFormat="1" applyFont="1" applyBorder="1" applyAlignment="1">
      <alignment horizontal="right" vertical="center"/>
    </xf>
    <xf numFmtId="44" fontId="0" fillId="3" borderId="13" xfId="1" applyFont="1" applyFill="1" applyBorder="1" applyAlignment="1">
      <alignment horizontal="right" vertical="center"/>
    </xf>
    <xf numFmtId="44" fontId="0" fillId="6" borderId="13" xfId="1" applyFont="1" applyFill="1" applyBorder="1" applyAlignment="1">
      <alignment horizontal="right" vertical="center"/>
    </xf>
    <xf numFmtId="44" fontId="0" fillId="2" borderId="2" xfId="1" applyFont="1" applyFill="1" applyBorder="1" applyAlignment="1">
      <alignment horizontal="right" vertical="center"/>
    </xf>
    <xf numFmtId="164" fontId="0" fillId="0" borderId="9" xfId="0" applyNumberFormat="1" applyFill="1" applyBorder="1" applyAlignment="1">
      <alignment horizontal="right" vertical="center"/>
    </xf>
    <xf numFmtId="164" fontId="1" fillId="0" borderId="14" xfId="0" applyNumberFormat="1" applyFont="1" applyBorder="1" applyAlignment="1">
      <alignment horizontal="right" vertical="center"/>
    </xf>
    <xf numFmtId="44" fontId="0" fillId="3" borderId="90" xfId="1" applyFont="1" applyFill="1" applyBorder="1" applyAlignment="1">
      <alignment horizontal="right" vertical="center"/>
    </xf>
    <xf numFmtId="44" fontId="0" fillId="6" borderId="90" xfId="1" applyFont="1" applyFill="1" applyBorder="1" applyAlignment="1">
      <alignment horizontal="right" vertical="center"/>
    </xf>
    <xf numFmtId="164" fontId="0" fillId="0" borderId="90" xfId="0" applyNumberFormat="1" applyFont="1" applyBorder="1" applyAlignment="1">
      <alignment horizontal="right" vertical="center"/>
    </xf>
    <xf numFmtId="164" fontId="1" fillId="0" borderId="36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" fillId="0" borderId="3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0" fontId="5" fillId="0" borderId="93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165" fontId="2" fillId="0" borderId="28" xfId="0" applyNumberFormat="1" applyFont="1" applyBorder="1" applyAlignment="1">
      <alignment horizontal="right" vertical="center"/>
    </xf>
    <xf numFmtId="164" fontId="1" fillId="0" borderId="65" xfId="0" applyNumberFormat="1" applyFont="1" applyBorder="1" applyAlignment="1">
      <alignment horizontal="right" vertical="center"/>
    </xf>
    <xf numFmtId="164" fontId="1" fillId="0" borderId="101" xfId="0" applyNumberFormat="1" applyFont="1" applyBorder="1" applyAlignment="1">
      <alignment horizontal="right" vertical="center"/>
    </xf>
    <xf numFmtId="165" fontId="1" fillId="0" borderId="40" xfId="0" applyNumberFormat="1" applyFont="1" applyBorder="1" applyAlignment="1">
      <alignment horizontal="right" vertical="center"/>
    </xf>
    <xf numFmtId="165" fontId="2" fillId="0" borderId="98" xfId="0" applyNumberFormat="1" applyFont="1" applyBorder="1" applyAlignment="1">
      <alignment horizontal="right" vertical="center"/>
    </xf>
    <xf numFmtId="165" fontId="2" fillId="0" borderId="85" xfId="0" applyNumberFormat="1" applyFont="1" applyBorder="1" applyAlignment="1">
      <alignment horizontal="right" vertical="center"/>
    </xf>
    <xf numFmtId="165" fontId="1" fillId="0" borderId="52" xfId="0" applyNumberFormat="1" applyFont="1" applyBorder="1" applyAlignment="1">
      <alignment horizontal="right" vertical="center"/>
    </xf>
    <xf numFmtId="165" fontId="1" fillId="0" borderId="47" xfId="0" applyNumberFormat="1" applyFont="1" applyBorder="1" applyAlignment="1">
      <alignment horizontal="right" vertical="center"/>
    </xf>
    <xf numFmtId="165" fontId="1" fillId="0" borderId="67" xfId="0" applyNumberFormat="1" applyFont="1" applyBorder="1" applyAlignment="1">
      <alignment horizontal="right" vertical="center"/>
    </xf>
    <xf numFmtId="165" fontId="1" fillId="0" borderId="91" xfId="0" applyNumberFormat="1" applyFont="1" applyBorder="1" applyAlignment="1">
      <alignment horizontal="right" vertic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opLeftCell="A7" workbookViewId="0">
      <selection activeCell="M25" sqref="M25"/>
    </sheetView>
  </sheetViews>
  <sheetFormatPr baseColWidth="10" defaultRowHeight="15" x14ac:dyDescent="0.25"/>
  <cols>
    <col min="1" max="1" width="11.42578125" style="1"/>
    <col min="2" max="2" width="16.140625" style="1" bestFit="1" customWidth="1"/>
    <col min="3" max="3" width="11.42578125" style="1"/>
    <col min="4" max="4" width="11.42578125" style="1" customWidth="1"/>
    <col min="5" max="21" width="11.42578125" style="1"/>
    <col min="22" max="16384" width="11.42578125" style="5"/>
  </cols>
  <sheetData>
    <row r="1" spans="2:10" x14ac:dyDescent="0.25">
      <c r="B1" s="507" t="s">
        <v>19</v>
      </c>
      <c r="C1" s="507"/>
      <c r="D1" s="507"/>
      <c r="E1" s="507"/>
      <c r="F1" s="507"/>
      <c r="G1" s="507"/>
      <c r="H1" s="507"/>
      <c r="I1" s="507"/>
      <c r="J1" s="507"/>
    </row>
    <row r="3" spans="2:10" x14ac:dyDescent="0.25">
      <c r="B3" s="2"/>
      <c r="C3" s="3"/>
      <c r="D3" s="3"/>
      <c r="E3" s="3"/>
      <c r="F3" s="3"/>
      <c r="G3" s="3"/>
      <c r="H3" s="4"/>
      <c r="I3" s="3"/>
      <c r="J3" s="4"/>
    </row>
    <row r="4" spans="2:10" x14ac:dyDescent="0.25">
      <c r="B4" s="6" t="s">
        <v>13</v>
      </c>
      <c r="C4" s="7">
        <v>32</v>
      </c>
      <c r="D4" s="7">
        <v>32</v>
      </c>
      <c r="E4" s="7">
        <v>32</v>
      </c>
      <c r="F4" s="7">
        <v>32</v>
      </c>
      <c r="G4" s="7">
        <v>32</v>
      </c>
      <c r="H4" s="8">
        <v>32</v>
      </c>
      <c r="I4" s="7">
        <v>32</v>
      </c>
      <c r="J4" s="8">
        <v>32</v>
      </c>
    </row>
    <row r="5" spans="2:10" x14ac:dyDescent="0.25">
      <c r="B5" s="6" t="s">
        <v>9</v>
      </c>
      <c r="C5" s="7">
        <f>C4*6</f>
        <v>192</v>
      </c>
      <c r="D5" s="9">
        <f>D4*5</f>
        <v>160</v>
      </c>
      <c r="E5" s="9">
        <f>E4*4</f>
        <v>128</v>
      </c>
      <c r="F5" s="7">
        <f>F4*3</f>
        <v>96</v>
      </c>
      <c r="G5" s="9">
        <f>G4*2</f>
        <v>64</v>
      </c>
      <c r="H5" s="10">
        <f>H4*1</f>
        <v>32</v>
      </c>
      <c r="I5" s="7">
        <f>I4*6</f>
        <v>192</v>
      </c>
      <c r="J5" s="8">
        <f>J4*6</f>
        <v>192</v>
      </c>
    </row>
    <row r="6" spans="2:10" x14ac:dyDescent="0.25">
      <c r="B6" s="6"/>
      <c r="C6" s="7"/>
      <c r="D6" s="7"/>
      <c r="E6" s="7"/>
      <c r="F6" s="7"/>
      <c r="G6" s="7"/>
      <c r="H6" s="8"/>
      <c r="I6" s="7"/>
      <c r="J6" s="8"/>
    </row>
    <row r="7" spans="2:10" ht="16.5" customHeight="1" x14ac:dyDescent="0.25">
      <c r="B7" s="6"/>
      <c r="C7" s="11" t="s">
        <v>8</v>
      </c>
      <c r="D7" s="11" t="s">
        <v>3</v>
      </c>
      <c r="E7" s="11" t="s">
        <v>4</v>
      </c>
      <c r="F7" s="11" t="s">
        <v>5</v>
      </c>
      <c r="G7" s="11" t="s">
        <v>6</v>
      </c>
      <c r="H7" s="12" t="s">
        <v>7</v>
      </c>
      <c r="I7" s="7" t="s">
        <v>20</v>
      </c>
      <c r="J7" s="8" t="s">
        <v>21</v>
      </c>
    </row>
    <row r="8" spans="2:10" ht="16.5" customHeight="1" x14ac:dyDescent="0.25">
      <c r="B8" s="6"/>
      <c r="C8" s="11"/>
      <c r="D8" s="11"/>
      <c r="E8" s="11"/>
      <c r="F8" s="11"/>
      <c r="G8" s="11"/>
      <c r="H8" s="12"/>
      <c r="I8" s="7"/>
      <c r="J8" s="8"/>
    </row>
    <row r="9" spans="2:10" ht="16.5" customHeight="1" x14ac:dyDescent="0.25">
      <c r="B9" s="6"/>
      <c r="C9" s="7" t="s">
        <v>1</v>
      </c>
      <c r="D9" s="7" t="s">
        <v>1</v>
      </c>
      <c r="E9" s="7" t="s">
        <v>1</v>
      </c>
      <c r="F9" s="7" t="s">
        <v>1</v>
      </c>
      <c r="G9" s="7" t="s">
        <v>1</v>
      </c>
      <c r="H9" s="8" t="s">
        <v>1</v>
      </c>
      <c r="I9" s="7"/>
      <c r="J9" s="8"/>
    </row>
    <row r="10" spans="2:10" ht="16.5" customHeight="1" x14ac:dyDescent="0.25">
      <c r="B10" s="6" t="s">
        <v>14</v>
      </c>
      <c r="C10" s="9">
        <f>12*6</f>
        <v>72</v>
      </c>
      <c r="D10" s="9">
        <f>12*5</f>
        <v>60</v>
      </c>
      <c r="E10" s="9">
        <f>12*4</f>
        <v>48</v>
      </c>
      <c r="F10" s="9">
        <f>12*3</f>
        <v>36</v>
      </c>
      <c r="G10" s="9">
        <f>12*2</f>
        <v>24</v>
      </c>
      <c r="H10" s="10">
        <f>12</f>
        <v>12</v>
      </c>
      <c r="I10" s="7">
        <v>72</v>
      </c>
      <c r="J10" s="8">
        <v>72</v>
      </c>
    </row>
    <row r="11" spans="2:10" ht="16.5" customHeight="1" x14ac:dyDescent="0.25">
      <c r="B11" s="6" t="s">
        <v>15</v>
      </c>
      <c r="C11" s="7">
        <f>6*6</f>
        <v>36</v>
      </c>
      <c r="D11" s="9">
        <f>6*5</f>
        <v>30</v>
      </c>
      <c r="E11" s="9">
        <f>6*4</f>
        <v>24</v>
      </c>
      <c r="F11" s="9">
        <f>6*3</f>
        <v>18</v>
      </c>
      <c r="G11" s="9">
        <f>6*2</f>
        <v>12</v>
      </c>
      <c r="H11" s="10">
        <f>6</f>
        <v>6</v>
      </c>
      <c r="I11" s="7">
        <v>36</v>
      </c>
      <c r="J11" s="8">
        <v>36</v>
      </c>
    </row>
    <row r="12" spans="2:10" ht="16.5" customHeight="1" x14ac:dyDescent="0.25">
      <c r="B12" s="6" t="s">
        <v>16</v>
      </c>
      <c r="C12" s="7">
        <f>14*6</f>
        <v>84</v>
      </c>
      <c r="D12" s="9">
        <f>14*5</f>
        <v>70</v>
      </c>
      <c r="E12" s="9">
        <f>14*4</f>
        <v>56</v>
      </c>
      <c r="F12" s="9">
        <f>14*3</f>
        <v>42</v>
      </c>
      <c r="G12" s="9">
        <f>14*2</f>
        <v>28</v>
      </c>
      <c r="H12" s="10">
        <f>14</f>
        <v>14</v>
      </c>
      <c r="I12" s="7">
        <v>84</v>
      </c>
      <c r="J12" s="8">
        <v>84</v>
      </c>
    </row>
    <row r="13" spans="2:10" ht="16.5" customHeight="1" x14ac:dyDescent="0.25">
      <c r="B13" s="6" t="s">
        <v>9</v>
      </c>
      <c r="C13" s="13">
        <f>SUM(C10:C12)</f>
        <v>192</v>
      </c>
      <c r="D13" s="13">
        <f>SUM(D10:D12)</f>
        <v>160</v>
      </c>
      <c r="E13" s="13">
        <f t="shared" ref="E13:H13" si="0">SUM(E10:E12)</f>
        <v>128</v>
      </c>
      <c r="F13" s="13">
        <f t="shared" si="0"/>
        <v>96</v>
      </c>
      <c r="G13" s="13">
        <f t="shared" si="0"/>
        <v>64</v>
      </c>
      <c r="H13" s="14">
        <f t="shared" si="0"/>
        <v>32</v>
      </c>
      <c r="I13" s="17">
        <f>SUM(I10:I12)</f>
        <v>192</v>
      </c>
      <c r="J13" s="18">
        <f>SUM(J10:J12)</f>
        <v>192</v>
      </c>
    </row>
    <row r="14" spans="2:10" ht="16.5" customHeight="1" x14ac:dyDescent="0.25">
      <c r="B14" s="6"/>
      <c r="C14" s="15"/>
      <c r="D14" s="15"/>
      <c r="E14" s="15"/>
      <c r="F14" s="7"/>
      <c r="G14" s="7"/>
      <c r="H14" s="8"/>
      <c r="I14" s="7"/>
      <c r="J14" s="8"/>
    </row>
    <row r="15" spans="2:10" ht="16.5" customHeight="1" x14ac:dyDescent="0.25">
      <c r="B15" s="6" t="s">
        <v>0</v>
      </c>
      <c r="C15" s="16">
        <v>568.08000000000004</v>
      </c>
      <c r="D15" s="16">
        <v>520.20000000000005</v>
      </c>
      <c r="E15" s="16">
        <v>463.58</v>
      </c>
      <c r="F15" s="17">
        <v>382.32</v>
      </c>
      <c r="G15" s="17">
        <v>280.08</v>
      </c>
      <c r="H15" s="18">
        <v>154.08000000000001</v>
      </c>
      <c r="I15" s="17">
        <v>1435.15</v>
      </c>
      <c r="J15" s="33">
        <v>1291.7</v>
      </c>
    </row>
    <row r="16" spans="2:10" ht="24" customHeight="1" x14ac:dyDescent="0.25">
      <c r="B16" s="19" t="s">
        <v>2</v>
      </c>
      <c r="C16" s="20">
        <f t="shared" ref="C16:H16" si="1">C15/C13</f>
        <v>2.9587500000000002</v>
      </c>
      <c r="D16" s="20">
        <f t="shared" si="1"/>
        <v>3.2512500000000002</v>
      </c>
      <c r="E16" s="20">
        <f t="shared" si="1"/>
        <v>3.6217187499999999</v>
      </c>
      <c r="F16" s="20">
        <f t="shared" si="1"/>
        <v>3.9824999999999999</v>
      </c>
      <c r="G16" s="20">
        <f t="shared" si="1"/>
        <v>4.3762499999999998</v>
      </c>
      <c r="H16" s="21">
        <f t="shared" si="1"/>
        <v>4.8150000000000004</v>
      </c>
      <c r="I16" s="41">
        <f>I15/I13</f>
        <v>7.4747395833333341</v>
      </c>
      <c r="J16" s="40">
        <f>+J15/J13</f>
        <v>6.7276041666666666</v>
      </c>
    </row>
    <row r="17" spans="2:13" ht="16.5" customHeight="1" x14ac:dyDescent="0.25">
      <c r="B17" s="6"/>
      <c r="C17" s="22"/>
      <c r="D17" s="22"/>
      <c r="E17" s="22"/>
      <c r="F17" s="22"/>
      <c r="G17" s="22"/>
      <c r="H17" s="8"/>
      <c r="I17" s="22"/>
      <c r="J17" s="8"/>
    </row>
    <row r="18" spans="2:13" ht="16.5" customHeight="1" x14ac:dyDescent="0.25">
      <c r="B18" s="2"/>
      <c r="C18" s="508" t="s">
        <v>17</v>
      </c>
      <c r="D18" s="508"/>
      <c r="E18" s="508"/>
      <c r="F18" s="508"/>
      <c r="G18" s="508"/>
      <c r="H18" s="509"/>
      <c r="I18" s="2"/>
      <c r="J18" s="4"/>
    </row>
    <row r="19" spans="2:13" ht="16.5" customHeight="1" x14ac:dyDescent="0.25">
      <c r="B19" s="48" t="s">
        <v>10</v>
      </c>
      <c r="C19" s="49">
        <f>$C$15*C10/$C$13</f>
        <v>213.03</v>
      </c>
      <c r="D19" s="49">
        <v>195.07</v>
      </c>
      <c r="E19" s="49">
        <f>$E$15*E10/$E$13</f>
        <v>173.8425</v>
      </c>
      <c r="F19" s="49">
        <f>$F$15*F10/$F$13</f>
        <v>143.37</v>
      </c>
      <c r="G19" s="49">
        <f>$G$15*G10/$G$13</f>
        <v>105.03</v>
      </c>
      <c r="H19" s="50">
        <f>$H$15*H10/$H$13</f>
        <v>57.78</v>
      </c>
      <c r="I19" s="51">
        <f>I15*$I$10/$I$13</f>
        <v>538.18124999999998</v>
      </c>
      <c r="J19" s="50">
        <f>+$J$15*J10/$J$13</f>
        <v>484.38750000000005</v>
      </c>
    </row>
    <row r="20" spans="2:13" ht="16.5" customHeight="1" x14ac:dyDescent="0.25">
      <c r="B20" s="6" t="s">
        <v>11</v>
      </c>
      <c r="C20" s="23">
        <v>106.51</v>
      </c>
      <c r="D20" s="23">
        <f t="shared" ref="D20:D21" si="2">$D$15*D11/$D$13</f>
        <v>97.537500000000009</v>
      </c>
      <c r="E20" s="23">
        <f t="shared" ref="E20:E21" si="3">$E$15*E11/$E$13</f>
        <v>86.921250000000001</v>
      </c>
      <c r="F20" s="23">
        <v>71.680000000000007</v>
      </c>
      <c r="G20" s="23">
        <v>52.51</v>
      </c>
      <c r="H20" s="24">
        <f t="shared" ref="H20:H21" si="4">$H$15*H11/$H$13</f>
        <v>28.89</v>
      </c>
      <c r="I20" s="34">
        <f>$I$15*I11/$I$13</f>
        <v>269.09062499999999</v>
      </c>
      <c r="J20" s="24">
        <f t="shared" ref="J20:J21" si="5">+$J$15*J11/$J$13</f>
        <v>242.19375000000002</v>
      </c>
    </row>
    <row r="21" spans="2:13" ht="16.5" customHeight="1" x14ac:dyDescent="0.25">
      <c r="B21" s="6" t="s">
        <v>12</v>
      </c>
      <c r="C21" s="23">
        <f>$C$15*C12/$C$13</f>
        <v>248.535</v>
      </c>
      <c r="D21" s="23">
        <f t="shared" si="2"/>
        <v>227.58750000000001</v>
      </c>
      <c r="E21" s="23">
        <f t="shared" si="3"/>
        <v>202.81625</v>
      </c>
      <c r="F21" s="23">
        <f>$F$15*F12/$F$13</f>
        <v>167.26500000000001</v>
      </c>
      <c r="G21" s="23">
        <f>$G$15*G12/$G$13</f>
        <v>122.535</v>
      </c>
      <c r="H21" s="24">
        <f t="shared" si="4"/>
        <v>67.410000000000011</v>
      </c>
      <c r="I21" s="34">
        <f>$I$15*I12/$I$13</f>
        <v>627.87812500000007</v>
      </c>
      <c r="J21" s="24">
        <f t="shared" si="5"/>
        <v>565.11874999999998</v>
      </c>
    </row>
    <row r="22" spans="2:13" ht="16.5" customHeight="1" x14ac:dyDescent="0.25">
      <c r="B22" s="25"/>
      <c r="C22" s="26">
        <f>213.03+106.51+248.54</f>
        <v>568.08000000000004</v>
      </c>
      <c r="D22" s="27">
        <f>195.07+97.54+227.59</f>
        <v>520.20000000000005</v>
      </c>
      <c r="E22" s="26">
        <f>173.84+86.92+202.82</f>
        <v>463.58</v>
      </c>
      <c r="F22" s="26">
        <f>143.37+71.68+167.27</f>
        <v>382.32000000000005</v>
      </c>
      <c r="G22" s="26">
        <f>105.03+52.51+122.54</f>
        <v>280.08</v>
      </c>
      <c r="H22" s="28">
        <f>57.78+28.89+67.41</f>
        <v>154.07999999999998</v>
      </c>
      <c r="I22" s="38">
        <f>538.18+269.09+627.88</f>
        <v>1435.15</v>
      </c>
      <c r="J22" s="39">
        <f>484.39+242.19+565.12</f>
        <v>1291.6999999999998</v>
      </c>
      <c r="M22" s="1">
        <f>216/6</f>
        <v>36</v>
      </c>
    </row>
    <row r="23" spans="2:13" x14ac:dyDescent="0.25">
      <c r="B23" s="6"/>
      <c r="C23" s="29"/>
      <c r="D23" s="29"/>
      <c r="E23" s="29"/>
      <c r="F23" s="29"/>
      <c r="G23" s="29"/>
      <c r="H23" s="8"/>
      <c r="I23" s="6"/>
      <c r="J23" s="8"/>
    </row>
    <row r="24" spans="2:13" x14ac:dyDescent="0.25">
      <c r="B24" s="6"/>
      <c r="C24" s="510" t="s">
        <v>18</v>
      </c>
      <c r="D24" s="510"/>
      <c r="E24" s="510"/>
      <c r="F24" s="510"/>
      <c r="G24" s="510"/>
      <c r="H24" s="511"/>
      <c r="I24" s="6"/>
      <c r="J24" s="8"/>
    </row>
    <row r="25" spans="2:13" x14ac:dyDescent="0.25">
      <c r="B25" s="6" t="s">
        <v>10</v>
      </c>
      <c r="C25" s="30">
        <f>C19/$C$16</f>
        <v>72</v>
      </c>
      <c r="D25" s="30">
        <f>D19/$D$16</f>
        <v>59.998462129950013</v>
      </c>
      <c r="E25" s="30">
        <f>E19/$E$16</f>
        <v>48</v>
      </c>
      <c r="F25" s="30">
        <f>F19/$F$16</f>
        <v>36</v>
      </c>
      <c r="G25" s="30">
        <f>G19/$G$16</f>
        <v>24</v>
      </c>
      <c r="H25" s="10">
        <f>H19/$H$16</f>
        <v>12</v>
      </c>
      <c r="I25" s="36">
        <f>I19/I16</f>
        <v>71.999999999999986</v>
      </c>
      <c r="J25" s="24"/>
    </row>
    <row r="26" spans="2:13" x14ac:dyDescent="0.25">
      <c r="B26" s="6" t="s">
        <v>11</v>
      </c>
      <c r="C26" s="30">
        <f t="shared" ref="C26:C27" si="6">C20/$C$16</f>
        <v>35.998310097169409</v>
      </c>
      <c r="D26" s="30">
        <f t="shared" ref="D26:D27" si="7">D20/$D$16</f>
        <v>30</v>
      </c>
      <c r="E26" s="30">
        <f t="shared" ref="E26:E27" si="8">E20/$E$16</f>
        <v>24</v>
      </c>
      <c r="F26" s="30">
        <f t="shared" ref="F26:F27" si="9">F20/$F$16</f>
        <v>17.998744507219087</v>
      </c>
      <c r="G26" s="30">
        <f t="shared" ref="G26:G27" si="10">G20/$G$16</f>
        <v>11.998857469294487</v>
      </c>
      <c r="H26" s="10">
        <f t="shared" ref="H26:H27" si="11">H20/$H$16</f>
        <v>6</v>
      </c>
      <c r="I26" s="36">
        <f>I20/I16</f>
        <v>35.999999999999993</v>
      </c>
      <c r="J26" s="24"/>
    </row>
    <row r="27" spans="2:13" x14ac:dyDescent="0.25">
      <c r="B27" s="25" t="s">
        <v>12</v>
      </c>
      <c r="C27" s="31">
        <f t="shared" si="6"/>
        <v>83.999999999999986</v>
      </c>
      <c r="D27" s="31">
        <f t="shared" si="7"/>
        <v>70</v>
      </c>
      <c r="E27" s="31">
        <f t="shared" si="8"/>
        <v>56</v>
      </c>
      <c r="F27" s="31">
        <f t="shared" si="9"/>
        <v>42.000000000000007</v>
      </c>
      <c r="G27" s="31">
        <f t="shared" si="10"/>
        <v>28</v>
      </c>
      <c r="H27" s="32">
        <f t="shared" si="11"/>
        <v>14.000000000000002</v>
      </c>
      <c r="I27" s="37">
        <f>I21/I16</f>
        <v>84</v>
      </c>
      <c r="J27" s="35"/>
    </row>
  </sheetData>
  <mergeCells count="3">
    <mergeCell ref="B1:J1"/>
    <mergeCell ref="C18:H18"/>
    <mergeCell ref="C24:H24"/>
  </mergeCells>
  <pageMargins left="0.43307086614173229" right="0.39370078740157483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zoomScaleNormal="100" workbookViewId="0">
      <selection activeCell="W48" sqref="W48"/>
    </sheetView>
  </sheetViews>
  <sheetFormatPr baseColWidth="10" defaultRowHeight="15" x14ac:dyDescent="0.25"/>
  <cols>
    <col min="1" max="1" width="18.42578125" style="1" customWidth="1"/>
    <col min="2" max="12" width="10.7109375" style="1" customWidth="1"/>
    <col min="13" max="13" width="0.85546875" style="1" hidden="1" customWidth="1"/>
    <col min="14" max="24" width="11.42578125" style="1"/>
    <col min="25" max="16384" width="11.42578125" style="5"/>
  </cols>
  <sheetData>
    <row r="1" spans="1:13" x14ac:dyDescent="0.25">
      <c r="A1" s="507" t="s">
        <v>68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291"/>
    </row>
    <row r="2" spans="1:13" ht="15.75" thickBot="1" x14ac:dyDescent="0.3"/>
    <row r="3" spans="1:13" x14ac:dyDescent="0.25">
      <c r="A3" s="56"/>
      <c r="B3" s="65"/>
      <c r="C3" s="65"/>
      <c r="D3" s="65"/>
      <c r="E3" s="65"/>
      <c r="F3" s="142"/>
      <c r="G3" s="134"/>
      <c r="H3" s="134"/>
      <c r="I3" s="261"/>
      <c r="J3" s="312"/>
      <c r="K3" s="134"/>
      <c r="L3" s="72"/>
      <c r="M3" s="72"/>
    </row>
    <row r="4" spans="1:13" x14ac:dyDescent="0.25">
      <c r="A4" s="57" t="s">
        <v>43</v>
      </c>
      <c r="B4" s="7">
        <v>36</v>
      </c>
      <c r="C4" s="7">
        <v>36</v>
      </c>
      <c r="D4" s="7">
        <v>36</v>
      </c>
      <c r="E4" s="7">
        <v>36</v>
      </c>
      <c r="F4" s="144">
        <v>36</v>
      </c>
      <c r="G4" s="7">
        <v>36</v>
      </c>
      <c r="H4" s="7">
        <v>36</v>
      </c>
      <c r="I4" s="6">
        <v>36</v>
      </c>
      <c r="J4" s="313">
        <v>36</v>
      </c>
      <c r="K4" s="8">
        <v>36</v>
      </c>
      <c r="L4" s="58">
        <v>36</v>
      </c>
      <c r="M4" s="292">
        <v>36</v>
      </c>
    </row>
    <row r="5" spans="1:13" x14ac:dyDescent="0.25">
      <c r="A5" s="57" t="s">
        <v>9</v>
      </c>
      <c r="B5" s="9">
        <f>B4*5</f>
        <v>180</v>
      </c>
      <c r="C5" s="9">
        <f>C4*4</f>
        <v>144</v>
      </c>
      <c r="D5" s="7">
        <f>D4*3</f>
        <v>108</v>
      </c>
      <c r="E5" s="9">
        <f>E4*2</f>
        <v>72</v>
      </c>
      <c r="F5" s="144">
        <f>F4*1</f>
        <v>36</v>
      </c>
      <c r="G5" s="7">
        <f>G4*6</f>
        <v>216</v>
      </c>
      <c r="H5" s="9">
        <f>H4*5</f>
        <v>180</v>
      </c>
      <c r="I5" s="30">
        <v>144</v>
      </c>
      <c r="J5" s="314">
        <v>180</v>
      </c>
      <c r="K5" s="8">
        <f>K4*6</f>
        <v>216</v>
      </c>
      <c r="L5" s="58">
        <v>180</v>
      </c>
      <c r="M5" s="292">
        <f>M4*5</f>
        <v>180</v>
      </c>
    </row>
    <row r="6" spans="1:13" ht="15.75" thickBot="1" x14ac:dyDescent="0.3">
      <c r="A6" s="57"/>
      <c r="B6" s="7"/>
      <c r="C6" s="7"/>
      <c r="D6" s="7"/>
      <c r="E6" s="7"/>
      <c r="F6" s="143"/>
      <c r="G6" s="8"/>
      <c r="H6" s="8"/>
      <c r="I6" s="263"/>
      <c r="J6" s="313"/>
      <c r="K6" s="8"/>
      <c r="L6" s="135"/>
      <c r="M6" s="135"/>
    </row>
    <row r="7" spans="1:13" ht="39" customHeight="1" thickBot="1" x14ac:dyDescent="0.3">
      <c r="A7" s="523"/>
      <c r="B7" s="276" t="s">
        <v>3</v>
      </c>
      <c r="C7" s="274" t="s">
        <v>4</v>
      </c>
      <c r="D7" s="274" t="s">
        <v>5</v>
      </c>
      <c r="E7" s="274" t="s">
        <v>6</v>
      </c>
      <c r="F7" s="275" t="s">
        <v>7</v>
      </c>
      <c r="G7" s="276" t="s">
        <v>32</v>
      </c>
      <c r="H7" s="276" t="s">
        <v>31</v>
      </c>
      <c r="I7" s="277" t="s">
        <v>40</v>
      </c>
      <c r="J7" s="315" t="s">
        <v>64</v>
      </c>
      <c r="K7" s="278" t="s">
        <v>65</v>
      </c>
      <c r="L7" s="301" t="s">
        <v>66</v>
      </c>
      <c r="M7" s="279" t="s">
        <v>67</v>
      </c>
    </row>
    <row r="8" spans="1:13" s="1" customFormat="1" ht="16.5" customHeight="1" thickBot="1" x14ac:dyDescent="0.3">
      <c r="A8" s="524"/>
      <c r="B8" s="281" t="s">
        <v>1</v>
      </c>
      <c r="C8" s="282" t="s">
        <v>1</v>
      </c>
      <c r="D8" s="282" t="s">
        <v>1</v>
      </c>
      <c r="E8" s="282" t="s">
        <v>1</v>
      </c>
      <c r="F8" s="283" t="s">
        <v>1</v>
      </c>
      <c r="G8" s="282" t="s">
        <v>1</v>
      </c>
      <c r="H8" s="282" t="s">
        <v>1</v>
      </c>
      <c r="I8" s="284" t="s">
        <v>1</v>
      </c>
      <c r="J8" s="316" t="s">
        <v>50</v>
      </c>
      <c r="K8" s="310" t="s">
        <v>1</v>
      </c>
      <c r="L8" s="285" t="s">
        <v>1</v>
      </c>
      <c r="M8" s="293" t="s">
        <v>1</v>
      </c>
    </row>
    <row r="9" spans="1:13" s="1" customFormat="1" ht="16.5" customHeight="1" thickBot="1" x14ac:dyDescent="0.3">
      <c r="A9" s="270" t="s">
        <v>63</v>
      </c>
      <c r="B9" s="167">
        <f>13*5+2</f>
        <v>67</v>
      </c>
      <c r="C9" s="165">
        <f>13*4+2</f>
        <v>54</v>
      </c>
      <c r="D9" s="165">
        <f>13*3+1</f>
        <v>40</v>
      </c>
      <c r="E9" s="165">
        <f>13*2+1</f>
        <v>27</v>
      </c>
      <c r="F9" s="166">
        <v>13</v>
      </c>
      <c r="G9" s="167">
        <f>13*6+2</f>
        <v>80</v>
      </c>
      <c r="H9" s="167">
        <f>13*5+2</f>
        <v>67</v>
      </c>
      <c r="I9" s="280">
        <f>13*4+2</f>
        <v>54</v>
      </c>
      <c r="J9" s="317">
        <f>13*5*2</f>
        <v>130</v>
      </c>
      <c r="K9" s="116">
        <f>G9</f>
        <v>80</v>
      </c>
      <c r="L9" s="265">
        <f>H9</f>
        <v>67</v>
      </c>
      <c r="M9" s="294">
        <f>I9</f>
        <v>54</v>
      </c>
    </row>
    <row r="10" spans="1:13" s="1" customFormat="1" ht="16.5" customHeight="1" thickBot="1" x14ac:dyDescent="0.3">
      <c r="A10" s="269" t="s">
        <v>37</v>
      </c>
      <c r="B10" s="63">
        <v>65</v>
      </c>
      <c r="C10" s="62">
        <f>13*4</f>
        <v>52</v>
      </c>
      <c r="D10" s="62">
        <f>13*3</f>
        <v>39</v>
      </c>
      <c r="E10" s="62">
        <f>13*2</f>
        <v>26</v>
      </c>
      <c r="F10" s="148">
        <v>13</v>
      </c>
      <c r="G10" s="63">
        <f>13*6</f>
        <v>78</v>
      </c>
      <c r="H10" s="63">
        <f>13*5</f>
        <v>65</v>
      </c>
      <c r="I10" s="204">
        <f>13*4</f>
        <v>52</v>
      </c>
      <c r="J10" s="318">
        <f>13*5*2</f>
        <v>130</v>
      </c>
      <c r="K10" s="63">
        <f t="shared" ref="K10:M12" si="0">G10</f>
        <v>78</v>
      </c>
      <c r="L10" s="64">
        <f t="shared" si="0"/>
        <v>65</v>
      </c>
      <c r="M10" s="295">
        <f t="shared" si="0"/>
        <v>52</v>
      </c>
    </row>
    <row r="11" spans="1:13" s="1" customFormat="1" ht="16.5" customHeight="1" thickBot="1" x14ac:dyDescent="0.3">
      <c r="A11" s="121" t="s">
        <v>53</v>
      </c>
      <c r="B11" s="88">
        <f>10*5-2</f>
        <v>48</v>
      </c>
      <c r="C11" s="87">
        <f>10*4-2</f>
        <v>38</v>
      </c>
      <c r="D11" s="87">
        <f>10*3-1</f>
        <v>29</v>
      </c>
      <c r="E11" s="87">
        <f>10*2-1</f>
        <v>19</v>
      </c>
      <c r="F11" s="149">
        <v>10</v>
      </c>
      <c r="G11" s="88">
        <f>10*6-2</f>
        <v>58</v>
      </c>
      <c r="H11" s="88">
        <f>10*5-2</f>
        <v>48</v>
      </c>
      <c r="I11" s="90">
        <f>10*4-2</f>
        <v>38</v>
      </c>
      <c r="J11" s="319">
        <v>100</v>
      </c>
      <c r="K11" s="311">
        <f t="shared" si="0"/>
        <v>58</v>
      </c>
      <c r="L11" s="266">
        <f t="shared" si="0"/>
        <v>48</v>
      </c>
      <c r="M11" s="296">
        <f t="shared" si="0"/>
        <v>38</v>
      </c>
    </row>
    <row r="12" spans="1:13" s="1" customFormat="1" ht="16.5" customHeight="1" x14ac:dyDescent="0.25">
      <c r="A12" s="271" t="s">
        <v>9</v>
      </c>
      <c r="B12" s="267">
        <f t="shared" ref="B12:I12" si="1">SUM(B9:B11)</f>
        <v>180</v>
      </c>
      <c r="C12" s="102">
        <f t="shared" si="1"/>
        <v>144</v>
      </c>
      <c r="D12" s="102">
        <f t="shared" si="1"/>
        <v>108</v>
      </c>
      <c r="E12" s="102">
        <f t="shared" si="1"/>
        <v>72</v>
      </c>
      <c r="F12" s="151">
        <f t="shared" si="1"/>
        <v>36</v>
      </c>
      <c r="G12" s="140">
        <f t="shared" si="1"/>
        <v>216</v>
      </c>
      <c r="H12" s="140">
        <f t="shared" si="1"/>
        <v>180</v>
      </c>
      <c r="I12" s="206">
        <f t="shared" si="1"/>
        <v>144</v>
      </c>
      <c r="J12" s="320">
        <v>360</v>
      </c>
      <c r="K12" s="32">
        <f t="shared" si="0"/>
        <v>216</v>
      </c>
      <c r="L12" s="264">
        <f t="shared" si="0"/>
        <v>180</v>
      </c>
      <c r="M12" s="297">
        <f t="shared" si="0"/>
        <v>144</v>
      </c>
    </row>
    <row r="13" spans="1:13" s="1" customFormat="1" ht="16.5" customHeight="1" thickBot="1" x14ac:dyDescent="0.3">
      <c r="A13" s="215"/>
      <c r="B13" s="268"/>
      <c r="C13" s="168"/>
      <c r="D13" s="3"/>
      <c r="E13" s="3"/>
      <c r="F13" s="164"/>
      <c r="G13" s="3"/>
      <c r="H13" s="3"/>
      <c r="I13" s="2"/>
      <c r="J13" s="321"/>
      <c r="K13" s="4"/>
      <c r="L13" s="196"/>
      <c r="M13" s="298"/>
    </row>
    <row r="14" spans="1:13" s="1" customFormat="1" ht="16.5" customHeight="1" thickBot="1" x14ac:dyDescent="0.3">
      <c r="A14" s="272" t="s">
        <v>0</v>
      </c>
      <c r="B14" s="322">
        <v>626.4</v>
      </c>
      <c r="C14" s="323">
        <v>532.79999999999995</v>
      </c>
      <c r="D14" s="323">
        <v>423.36</v>
      </c>
      <c r="E14" s="323">
        <v>297.36</v>
      </c>
      <c r="F14" s="324">
        <v>156.6</v>
      </c>
      <c r="G14" s="325">
        <v>1982.88</v>
      </c>
      <c r="H14" s="325">
        <v>1756.8</v>
      </c>
      <c r="I14" s="326">
        <v>1530.72</v>
      </c>
      <c r="J14" s="327">
        <v>1252.8</v>
      </c>
      <c r="K14" s="328">
        <v>1356.48</v>
      </c>
      <c r="L14" s="329">
        <v>1130.4000000000001</v>
      </c>
      <c r="M14" s="299"/>
    </row>
    <row r="15" spans="1:13" s="1" customFormat="1" ht="24" customHeight="1" thickBot="1" x14ac:dyDescent="0.3">
      <c r="A15" s="273" t="s">
        <v>44</v>
      </c>
      <c r="B15" s="330">
        <f>B14/B12</f>
        <v>3.48</v>
      </c>
      <c r="C15" s="331">
        <f>C14/C12</f>
        <v>3.6999999999999997</v>
      </c>
      <c r="D15" s="331">
        <f t="shared" ref="D15:K15" si="2">D14/D12</f>
        <v>3.92</v>
      </c>
      <c r="E15" s="331">
        <f t="shared" si="2"/>
        <v>4.13</v>
      </c>
      <c r="F15" s="332">
        <f t="shared" si="2"/>
        <v>4.3499999999999996</v>
      </c>
      <c r="G15" s="333">
        <f t="shared" si="2"/>
        <v>9.18</v>
      </c>
      <c r="H15" s="333">
        <f t="shared" si="2"/>
        <v>9.76</v>
      </c>
      <c r="I15" s="334">
        <f t="shared" si="2"/>
        <v>10.63</v>
      </c>
      <c r="J15" s="335">
        <v>6.96</v>
      </c>
      <c r="K15" s="336">
        <f t="shared" si="2"/>
        <v>6.28</v>
      </c>
      <c r="L15" s="337">
        <v>6.28</v>
      </c>
      <c r="M15" s="300">
        <f>M14/M12</f>
        <v>0</v>
      </c>
    </row>
    <row r="16" spans="1:13" s="1" customFormat="1" ht="16.5" hidden="1" customHeight="1" x14ac:dyDescent="0.25">
      <c r="A16" s="57" t="s">
        <v>41</v>
      </c>
      <c r="B16" s="263"/>
      <c r="C16" s="263"/>
      <c r="D16" s="263"/>
      <c r="E16" s="263" t="s">
        <v>45</v>
      </c>
      <c r="F16" s="197">
        <v>4.3499999999999996</v>
      </c>
      <c r="G16" s="521"/>
      <c r="H16" s="521"/>
      <c r="I16" s="197">
        <v>7</v>
      </c>
      <c r="J16" s="197"/>
      <c r="K16" s="263"/>
      <c r="L16" s="263"/>
      <c r="M16" s="135"/>
    </row>
    <row r="17" spans="1:13" s="1" customFormat="1" ht="16.5" customHeight="1" thickBot="1" x14ac:dyDescent="0.3">
      <c r="A17" s="57"/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90"/>
    </row>
    <row r="18" spans="1:13" s="1" customFormat="1" ht="16.5" customHeight="1" x14ac:dyDescent="0.25">
      <c r="A18" s="306" t="s">
        <v>10</v>
      </c>
      <c r="B18" s="338">
        <f>B14/B12*B9</f>
        <v>233.16</v>
      </c>
      <c r="C18" s="339">
        <f>C14/C12*C9</f>
        <v>199.79999999999998</v>
      </c>
      <c r="D18" s="339">
        <f>D14/D12*C9</f>
        <v>211.68</v>
      </c>
      <c r="E18" s="339">
        <f>$E$14*E9/$E$12</f>
        <v>111.51</v>
      </c>
      <c r="F18" s="340">
        <f>$F$14*F9/$F$12</f>
        <v>56.55</v>
      </c>
      <c r="G18" s="341">
        <f>G14/G12*G9</f>
        <v>734.4</v>
      </c>
      <c r="H18" s="339">
        <f>H14/H12*H9</f>
        <v>653.91999999999996</v>
      </c>
      <c r="I18" s="342">
        <f>I14/I12*I9</f>
        <v>574.0200000000001</v>
      </c>
      <c r="J18" s="343">
        <f>J14/J12*J9</f>
        <v>452.4</v>
      </c>
      <c r="K18" s="341">
        <f>K21/K12*K9</f>
        <v>502.40000000000003</v>
      </c>
      <c r="L18" s="344">
        <f>L21/L12*L9</f>
        <v>420.76</v>
      </c>
      <c r="M18" s="302">
        <f>M21/M12*M9</f>
        <v>0</v>
      </c>
    </row>
    <row r="19" spans="1:13" s="1" customFormat="1" ht="16.5" customHeight="1" x14ac:dyDescent="0.25">
      <c r="A19" s="307" t="s">
        <v>11</v>
      </c>
      <c r="B19" s="345">
        <f>B14/B12*B10</f>
        <v>226.2</v>
      </c>
      <c r="C19" s="346">
        <f>C14/C12*C10</f>
        <v>192.39999999999998</v>
      </c>
      <c r="D19" s="346">
        <f>$D$14*D10/$D$12</f>
        <v>152.88</v>
      </c>
      <c r="E19" s="346">
        <f>$E$14*E10/$E$12</f>
        <v>107.38000000000001</v>
      </c>
      <c r="F19" s="347">
        <f>$F$14*F10/$F$12</f>
        <v>56.55</v>
      </c>
      <c r="G19" s="348">
        <f>G14/G12*G10</f>
        <v>716.04</v>
      </c>
      <c r="H19" s="346">
        <f>H14/H12*H10</f>
        <v>634.4</v>
      </c>
      <c r="I19" s="349">
        <f>I14/I12*I10</f>
        <v>552.76</v>
      </c>
      <c r="J19" s="350">
        <f>J14/J12*J10</f>
        <v>452.4</v>
      </c>
      <c r="K19" s="348">
        <f>K21/K12*K10</f>
        <v>489.84000000000003</v>
      </c>
      <c r="L19" s="351">
        <f>L21/L12*L10</f>
        <v>408.2</v>
      </c>
      <c r="M19" s="303">
        <f>M21/M12*M10</f>
        <v>0</v>
      </c>
    </row>
    <row r="20" spans="1:13" s="1" customFormat="1" ht="16.5" customHeight="1" x14ac:dyDescent="0.25">
      <c r="A20" s="308" t="s">
        <v>12</v>
      </c>
      <c r="B20" s="352">
        <f>B14/B12*B10</f>
        <v>226.2</v>
      </c>
      <c r="C20" s="353">
        <f>C14/C12*C10</f>
        <v>192.39999999999998</v>
      </c>
      <c r="D20" s="353">
        <f>$D$14*D11/$D$12</f>
        <v>113.68</v>
      </c>
      <c r="E20" s="353">
        <f>$E$14*E11/$E$12</f>
        <v>78.47</v>
      </c>
      <c r="F20" s="354">
        <f>$F$14*F11/$F$12</f>
        <v>43.5</v>
      </c>
      <c r="G20" s="355">
        <f>G14/G12*G11</f>
        <v>532.43999999999994</v>
      </c>
      <c r="H20" s="353">
        <f>H14/H12*H11</f>
        <v>468.48</v>
      </c>
      <c r="I20" s="356">
        <f>I14/I12*I11</f>
        <v>403.94000000000005</v>
      </c>
      <c r="J20" s="357">
        <f>J14/J12*J11</f>
        <v>348</v>
      </c>
      <c r="K20" s="355">
        <f>K21/K12*K11</f>
        <v>364.24</v>
      </c>
      <c r="L20" s="358">
        <f>L21/L12*L11</f>
        <v>301.44</v>
      </c>
      <c r="M20" s="304">
        <f>M21/M12*M11</f>
        <v>0</v>
      </c>
    </row>
    <row r="21" spans="1:13" s="1" customFormat="1" ht="16.5" customHeight="1" thickBot="1" x14ac:dyDescent="0.3">
      <c r="A21" s="309"/>
      <c r="B21" s="359">
        <f t="shared" ref="B21:J21" si="3">SUM(B18:B20)</f>
        <v>685.56</v>
      </c>
      <c r="C21" s="360">
        <f t="shared" si="3"/>
        <v>584.59999999999991</v>
      </c>
      <c r="D21" s="360">
        <f t="shared" si="3"/>
        <v>478.24</v>
      </c>
      <c r="E21" s="360">
        <f t="shared" si="3"/>
        <v>297.36</v>
      </c>
      <c r="F21" s="361">
        <f t="shared" si="3"/>
        <v>156.6</v>
      </c>
      <c r="G21" s="362">
        <f t="shared" si="3"/>
        <v>1982.88</v>
      </c>
      <c r="H21" s="360">
        <f t="shared" si="3"/>
        <v>1756.8</v>
      </c>
      <c r="I21" s="363">
        <f t="shared" si="3"/>
        <v>1530.7200000000003</v>
      </c>
      <c r="J21" s="364">
        <f t="shared" si="3"/>
        <v>1252.8</v>
      </c>
      <c r="K21" s="362">
        <v>1356.48</v>
      </c>
      <c r="L21" s="365">
        <v>1130.4000000000001</v>
      </c>
      <c r="M21" s="305"/>
    </row>
    <row r="22" spans="1:13" s="1" customFormat="1" hidden="1" x14ac:dyDescent="0.25">
      <c r="A22" s="263"/>
      <c r="B22" s="263" t="b">
        <f>B14=B21</f>
        <v>0</v>
      </c>
      <c r="C22" s="263" t="b">
        <f t="shared" ref="C22:L22" si="4">C21=C14</f>
        <v>0</v>
      </c>
      <c r="D22" s="263" t="b">
        <f t="shared" si="4"/>
        <v>0</v>
      </c>
      <c r="E22" s="263" t="b">
        <f t="shared" si="4"/>
        <v>1</v>
      </c>
      <c r="F22" s="263" t="b">
        <f t="shared" si="4"/>
        <v>1</v>
      </c>
      <c r="G22" s="263" t="b">
        <f t="shared" si="4"/>
        <v>1</v>
      </c>
      <c r="H22" s="263" t="b">
        <f t="shared" si="4"/>
        <v>1</v>
      </c>
      <c r="I22" s="263" t="b">
        <f t="shared" si="4"/>
        <v>1</v>
      </c>
      <c r="J22" s="263" t="b">
        <f t="shared" si="4"/>
        <v>1</v>
      </c>
      <c r="K22" s="263" t="b">
        <f t="shared" si="4"/>
        <v>1</v>
      </c>
      <c r="L22" s="263" t="b">
        <f t="shared" si="4"/>
        <v>1</v>
      </c>
      <c r="M22" s="263"/>
    </row>
    <row r="24" spans="1:13" s="1" customFormat="1" x14ac:dyDescent="0.25">
      <c r="A24" s="5" t="s">
        <v>69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s="1" customFormat="1" x14ac:dyDescent="0.25">
      <c r="A25" s="5" t="s">
        <v>54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s="1" customFormat="1" x14ac:dyDescent="0.25">
      <c r="A26" s="5" t="s">
        <v>55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s="1" customFormat="1" hidden="1" x14ac:dyDescent="0.25">
      <c r="A27" s="262" t="s">
        <v>56</v>
      </c>
      <c r="M27" s="163"/>
    </row>
    <row r="28" spans="1:13" s="1" customFormat="1" hidden="1" x14ac:dyDescent="0.25">
      <c r="A28" s="193" t="s">
        <v>57</v>
      </c>
      <c r="B28" s="194">
        <v>2.0499999999999998</v>
      </c>
      <c r="C28" s="194">
        <v>2.1800000000000002</v>
      </c>
      <c r="D28" s="194">
        <v>2.31</v>
      </c>
      <c r="E28" s="194">
        <v>2.38</v>
      </c>
      <c r="F28" s="194">
        <v>2.57</v>
      </c>
      <c r="G28" s="194"/>
      <c r="H28" s="194">
        <v>4.29</v>
      </c>
      <c r="I28" s="194">
        <v>4.68</v>
      </c>
      <c r="J28" s="194">
        <v>3.41</v>
      </c>
      <c r="K28" s="194"/>
      <c r="L28" s="194"/>
      <c r="M28" s="194"/>
    </row>
    <row r="29" spans="1:13" s="1" customFormat="1" hidden="1" x14ac:dyDescent="0.25">
      <c r="A29" s="193" t="s">
        <v>59</v>
      </c>
    </row>
  </sheetData>
  <mergeCells count="3">
    <mergeCell ref="A7:A8"/>
    <mergeCell ref="G16:H16"/>
    <mergeCell ref="A1:L1"/>
  </mergeCells>
  <pageMargins left="0.43307086614173229" right="0.39370078740157483" top="0.74803149606299213" bottom="0.74803149606299213" header="0.31496062992125984" footer="0.31496062992125984"/>
  <pageSetup paperSize="9" scale="10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zoomScaleNormal="100" workbookViewId="0">
      <selection activeCell="P26" sqref="P26"/>
    </sheetView>
  </sheetViews>
  <sheetFormatPr baseColWidth="10" defaultRowHeight="15" x14ac:dyDescent="0.25"/>
  <cols>
    <col min="1" max="1" width="18.42578125" style="1" customWidth="1"/>
    <col min="2" max="13" width="10.7109375" style="1" customWidth="1"/>
    <col min="14" max="14" width="0.85546875" style="1" hidden="1" customWidth="1"/>
    <col min="15" max="25" width="11.42578125" style="1"/>
    <col min="26" max="16384" width="11.42578125" style="5"/>
  </cols>
  <sheetData>
    <row r="1" spans="1:14" x14ac:dyDescent="0.25">
      <c r="A1" s="507" t="s">
        <v>68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291"/>
    </row>
    <row r="2" spans="1:14" ht="15.75" thickBot="1" x14ac:dyDescent="0.3"/>
    <row r="3" spans="1:14" x14ac:dyDescent="0.25">
      <c r="A3" s="56"/>
      <c r="B3" s="65"/>
      <c r="C3" s="65"/>
      <c r="D3" s="65"/>
      <c r="E3" s="65"/>
      <c r="F3" s="142"/>
      <c r="G3" s="134"/>
      <c r="H3" s="134"/>
      <c r="I3" s="134"/>
      <c r="J3" s="286"/>
      <c r="K3" s="312"/>
      <c r="L3" s="134"/>
      <c r="M3" s="72"/>
      <c r="N3" s="72"/>
    </row>
    <row r="4" spans="1:14" x14ac:dyDescent="0.25">
      <c r="A4" s="57" t="s">
        <v>43</v>
      </c>
      <c r="B4" s="7">
        <v>36</v>
      </c>
      <c r="C4" s="7">
        <v>36</v>
      </c>
      <c r="D4" s="7">
        <v>36</v>
      </c>
      <c r="E4" s="7">
        <v>36</v>
      </c>
      <c r="F4" s="144">
        <v>36</v>
      </c>
      <c r="G4" s="7">
        <v>36</v>
      </c>
      <c r="H4" s="7">
        <v>36</v>
      </c>
      <c r="I4" s="7">
        <v>36</v>
      </c>
      <c r="J4" s="6">
        <v>36</v>
      </c>
      <c r="K4" s="313">
        <v>36</v>
      </c>
      <c r="L4" s="8">
        <v>36</v>
      </c>
      <c r="M4" s="58">
        <v>36</v>
      </c>
      <c r="N4" s="292">
        <v>36</v>
      </c>
    </row>
    <row r="5" spans="1:14" x14ac:dyDescent="0.25">
      <c r="A5" s="57" t="s">
        <v>9</v>
      </c>
      <c r="B5" s="9">
        <f>B4*5</f>
        <v>180</v>
      </c>
      <c r="C5" s="9">
        <f>C4*4</f>
        <v>144</v>
      </c>
      <c r="D5" s="7">
        <f>D4*3</f>
        <v>108</v>
      </c>
      <c r="E5" s="9">
        <f>E4*2</f>
        <v>72</v>
      </c>
      <c r="F5" s="144">
        <f>F4*1</f>
        <v>36</v>
      </c>
      <c r="G5" s="7">
        <f>G4*6</f>
        <v>216</v>
      </c>
      <c r="H5" s="9">
        <f>H4*5</f>
        <v>180</v>
      </c>
      <c r="I5" s="9">
        <f>I4*5</f>
        <v>180</v>
      </c>
      <c r="J5" s="30">
        <v>144</v>
      </c>
      <c r="K5" s="314">
        <v>180</v>
      </c>
      <c r="L5" s="8">
        <f>L4*6</f>
        <v>216</v>
      </c>
      <c r="M5" s="58">
        <v>180</v>
      </c>
      <c r="N5" s="292">
        <f>N4*5</f>
        <v>180</v>
      </c>
    </row>
    <row r="6" spans="1:14" ht="15.75" thickBot="1" x14ac:dyDescent="0.3">
      <c r="A6" s="57"/>
      <c r="B6" s="7"/>
      <c r="C6" s="7"/>
      <c r="D6" s="7"/>
      <c r="E6" s="7"/>
      <c r="F6" s="143"/>
      <c r="G6" s="8"/>
      <c r="H6" s="8"/>
      <c r="I6" s="8"/>
      <c r="J6" s="288"/>
      <c r="K6" s="313"/>
      <c r="L6" s="8"/>
      <c r="M6" s="135"/>
      <c r="N6" s="135"/>
    </row>
    <row r="7" spans="1:14" ht="39" customHeight="1" thickBot="1" x14ac:dyDescent="0.3">
      <c r="A7" s="523"/>
      <c r="B7" s="276" t="s">
        <v>3</v>
      </c>
      <c r="C7" s="274" t="s">
        <v>4</v>
      </c>
      <c r="D7" s="274" t="s">
        <v>5</v>
      </c>
      <c r="E7" s="274" t="s">
        <v>6</v>
      </c>
      <c r="F7" s="275" t="s">
        <v>7</v>
      </c>
      <c r="G7" s="367" t="s">
        <v>70</v>
      </c>
      <c r="H7" s="367" t="s">
        <v>71</v>
      </c>
      <c r="I7" s="367" t="s">
        <v>72</v>
      </c>
      <c r="J7" s="277" t="s">
        <v>40</v>
      </c>
      <c r="K7" s="315" t="s">
        <v>64</v>
      </c>
      <c r="L7" s="278" t="s">
        <v>65</v>
      </c>
      <c r="M7" s="301" t="s">
        <v>66</v>
      </c>
      <c r="N7" s="279" t="s">
        <v>67</v>
      </c>
    </row>
    <row r="8" spans="1:14" s="1" customFormat="1" ht="16.5" customHeight="1" thickBot="1" x14ac:dyDescent="0.3">
      <c r="A8" s="524"/>
      <c r="B8" s="281" t="s">
        <v>1</v>
      </c>
      <c r="C8" s="282" t="s">
        <v>1</v>
      </c>
      <c r="D8" s="282" t="s">
        <v>1</v>
      </c>
      <c r="E8" s="282" t="s">
        <v>1</v>
      </c>
      <c r="F8" s="283" t="s">
        <v>1</v>
      </c>
      <c r="G8" s="282" t="s">
        <v>1</v>
      </c>
      <c r="H8" s="282" t="s">
        <v>1</v>
      </c>
      <c r="I8" s="282" t="s">
        <v>1</v>
      </c>
      <c r="J8" s="284" t="s">
        <v>1</v>
      </c>
      <c r="K8" s="316" t="s">
        <v>50</v>
      </c>
      <c r="L8" s="310" t="s">
        <v>1</v>
      </c>
      <c r="M8" s="285" t="s">
        <v>1</v>
      </c>
      <c r="N8" s="293" t="s">
        <v>1</v>
      </c>
    </row>
    <row r="9" spans="1:14" s="1" customFormat="1" ht="16.5" customHeight="1" thickBot="1" x14ac:dyDescent="0.3">
      <c r="A9" s="270" t="s">
        <v>63</v>
      </c>
      <c r="B9" s="167">
        <f>13*5+2</f>
        <v>67</v>
      </c>
      <c r="C9" s="165">
        <f>13*4+2</f>
        <v>54</v>
      </c>
      <c r="D9" s="165">
        <f>13*3+1</f>
        <v>40</v>
      </c>
      <c r="E9" s="165">
        <f>13*2+1</f>
        <v>27</v>
      </c>
      <c r="F9" s="166">
        <v>13</v>
      </c>
      <c r="G9" s="167">
        <f>13*6+2</f>
        <v>80</v>
      </c>
      <c r="H9" s="167">
        <f>13*5+2</f>
        <v>67</v>
      </c>
      <c r="I9" s="167">
        <f>13*5+2</f>
        <v>67</v>
      </c>
      <c r="J9" s="280">
        <f>13*4+2</f>
        <v>54</v>
      </c>
      <c r="K9" s="317">
        <f>13*5*2</f>
        <v>130</v>
      </c>
      <c r="L9" s="116">
        <f t="shared" ref="L9:M12" si="0">G9</f>
        <v>80</v>
      </c>
      <c r="M9" s="265">
        <f t="shared" si="0"/>
        <v>67</v>
      </c>
      <c r="N9" s="294">
        <f>J9</f>
        <v>54</v>
      </c>
    </row>
    <row r="10" spans="1:14" s="1" customFormat="1" ht="16.5" customHeight="1" thickBot="1" x14ac:dyDescent="0.3">
      <c r="A10" s="269" t="s">
        <v>37</v>
      </c>
      <c r="B10" s="63">
        <v>65</v>
      </c>
      <c r="C10" s="62">
        <f>13*4</f>
        <v>52</v>
      </c>
      <c r="D10" s="62">
        <f>13*3</f>
        <v>39</v>
      </c>
      <c r="E10" s="62">
        <f>13*2</f>
        <v>26</v>
      </c>
      <c r="F10" s="148">
        <v>13</v>
      </c>
      <c r="G10" s="63">
        <f>13*6</f>
        <v>78</v>
      </c>
      <c r="H10" s="63">
        <f>13*5</f>
        <v>65</v>
      </c>
      <c r="I10" s="63">
        <f>13*5</f>
        <v>65</v>
      </c>
      <c r="J10" s="204">
        <f>13*4</f>
        <v>52</v>
      </c>
      <c r="K10" s="318">
        <f>13*5*2</f>
        <v>130</v>
      </c>
      <c r="L10" s="63">
        <f t="shared" si="0"/>
        <v>78</v>
      </c>
      <c r="M10" s="64">
        <f t="shared" si="0"/>
        <v>65</v>
      </c>
      <c r="N10" s="295">
        <f t="shared" ref="N10:N12" si="1">J10</f>
        <v>52</v>
      </c>
    </row>
    <row r="11" spans="1:14" s="1" customFormat="1" ht="16.5" customHeight="1" thickBot="1" x14ac:dyDescent="0.3">
      <c r="A11" s="121" t="s">
        <v>53</v>
      </c>
      <c r="B11" s="88">
        <f>10*5-2</f>
        <v>48</v>
      </c>
      <c r="C11" s="87">
        <f>10*4-2</f>
        <v>38</v>
      </c>
      <c r="D11" s="87">
        <f>10*3-1</f>
        <v>29</v>
      </c>
      <c r="E11" s="87">
        <f>10*2-1</f>
        <v>19</v>
      </c>
      <c r="F11" s="149">
        <v>10</v>
      </c>
      <c r="G11" s="88">
        <f>10*6-2</f>
        <v>58</v>
      </c>
      <c r="H11" s="88">
        <f>10*5-2</f>
        <v>48</v>
      </c>
      <c r="I11" s="88">
        <f>10*5-2</f>
        <v>48</v>
      </c>
      <c r="J11" s="90">
        <f>10*4-2</f>
        <v>38</v>
      </c>
      <c r="K11" s="319">
        <v>100</v>
      </c>
      <c r="L11" s="311">
        <f t="shared" si="0"/>
        <v>58</v>
      </c>
      <c r="M11" s="266">
        <f t="shared" si="0"/>
        <v>48</v>
      </c>
      <c r="N11" s="296">
        <f t="shared" si="1"/>
        <v>38</v>
      </c>
    </row>
    <row r="12" spans="1:14" s="1" customFormat="1" ht="16.5" customHeight="1" x14ac:dyDescent="0.25">
      <c r="A12" s="271" t="s">
        <v>9</v>
      </c>
      <c r="B12" s="267">
        <f t="shared" ref="B12:J12" si="2">SUM(B9:B11)</f>
        <v>180</v>
      </c>
      <c r="C12" s="102">
        <f t="shared" si="2"/>
        <v>144</v>
      </c>
      <c r="D12" s="102">
        <f t="shared" si="2"/>
        <v>108</v>
      </c>
      <c r="E12" s="102">
        <f t="shared" si="2"/>
        <v>72</v>
      </c>
      <c r="F12" s="151">
        <f t="shared" si="2"/>
        <v>36</v>
      </c>
      <c r="G12" s="140">
        <f t="shared" si="2"/>
        <v>216</v>
      </c>
      <c r="H12" s="140">
        <f t="shared" si="2"/>
        <v>180</v>
      </c>
      <c r="I12" s="140">
        <f t="shared" ref="I12" si="3">SUM(I9:I11)</f>
        <v>180</v>
      </c>
      <c r="J12" s="206">
        <f t="shared" si="2"/>
        <v>144</v>
      </c>
      <c r="K12" s="320">
        <v>360</v>
      </c>
      <c r="L12" s="32">
        <f t="shared" si="0"/>
        <v>216</v>
      </c>
      <c r="M12" s="264">
        <f t="shared" si="0"/>
        <v>180</v>
      </c>
      <c r="N12" s="297">
        <f t="shared" si="1"/>
        <v>144</v>
      </c>
    </row>
    <row r="13" spans="1:14" s="1" customFormat="1" ht="16.5" customHeight="1" thickBot="1" x14ac:dyDescent="0.3">
      <c r="A13" s="215"/>
      <c r="B13" s="268"/>
      <c r="C13" s="168"/>
      <c r="D13" s="3"/>
      <c r="E13" s="3"/>
      <c r="F13" s="164"/>
      <c r="G13" s="3"/>
      <c r="H13" s="3"/>
      <c r="I13" s="2"/>
      <c r="J13" s="2"/>
      <c r="K13" s="321"/>
      <c r="L13" s="4"/>
      <c r="M13" s="196"/>
      <c r="N13" s="298"/>
    </row>
    <row r="14" spans="1:14" s="1" customFormat="1" ht="16.5" customHeight="1" thickBot="1" x14ac:dyDescent="0.3">
      <c r="A14" s="272" t="s">
        <v>0</v>
      </c>
      <c r="B14" s="322">
        <v>626.4</v>
      </c>
      <c r="C14" s="323">
        <v>532.79999999999995</v>
      </c>
      <c r="D14" s="323">
        <v>423.36</v>
      </c>
      <c r="E14" s="323">
        <v>297.36</v>
      </c>
      <c r="F14" s="324">
        <v>156.6</v>
      </c>
      <c r="G14" s="325">
        <v>1882.08</v>
      </c>
      <c r="H14" s="325">
        <v>1756.8</v>
      </c>
      <c r="I14" s="326">
        <v>1631.52</v>
      </c>
      <c r="J14" s="326">
        <v>1530.72</v>
      </c>
      <c r="K14" s="327">
        <v>1252.8</v>
      </c>
      <c r="L14" s="328">
        <v>1356.48</v>
      </c>
      <c r="M14" s="329">
        <v>1130.4000000000001</v>
      </c>
      <c r="N14" s="299"/>
    </row>
    <row r="15" spans="1:14" s="1" customFormat="1" ht="24" customHeight="1" thickBot="1" x14ac:dyDescent="0.3">
      <c r="A15" s="273" t="s">
        <v>44</v>
      </c>
      <c r="B15" s="330">
        <f>B14/B12</f>
        <v>3.48</v>
      </c>
      <c r="C15" s="331">
        <f>C14/C12</f>
        <v>3.6999999999999997</v>
      </c>
      <c r="D15" s="331">
        <f t="shared" ref="D15:L15" si="4">D14/D12</f>
        <v>3.92</v>
      </c>
      <c r="E15" s="331">
        <f t="shared" si="4"/>
        <v>4.13</v>
      </c>
      <c r="F15" s="332">
        <f t="shared" si="4"/>
        <v>4.3499999999999996</v>
      </c>
      <c r="G15" s="333">
        <f t="shared" si="4"/>
        <v>8.7133333333333329</v>
      </c>
      <c r="H15" s="333">
        <f t="shared" si="4"/>
        <v>9.76</v>
      </c>
      <c r="I15" s="333">
        <f t="shared" si="4"/>
        <v>9.0640000000000001</v>
      </c>
      <c r="J15" s="334">
        <f t="shared" si="4"/>
        <v>10.63</v>
      </c>
      <c r="K15" s="335">
        <v>6.96</v>
      </c>
      <c r="L15" s="336">
        <f t="shared" si="4"/>
        <v>6.28</v>
      </c>
      <c r="M15" s="337">
        <v>6.28</v>
      </c>
      <c r="N15" s="300">
        <f>N14/N12</f>
        <v>0</v>
      </c>
    </row>
    <row r="16" spans="1:14" s="1" customFormat="1" ht="16.5" hidden="1" customHeight="1" x14ac:dyDescent="0.25">
      <c r="A16" s="57" t="s">
        <v>41</v>
      </c>
      <c r="B16" s="288"/>
      <c r="C16" s="288"/>
      <c r="D16" s="288"/>
      <c r="E16" s="288" t="s">
        <v>45</v>
      </c>
      <c r="F16" s="197">
        <v>4.3499999999999996</v>
      </c>
      <c r="G16" s="521"/>
      <c r="H16" s="521"/>
      <c r="I16" s="288"/>
      <c r="J16" s="197">
        <v>7</v>
      </c>
      <c r="K16" s="197"/>
      <c r="L16" s="288"/>
      <c r="M16" s="288"/>
      <c r="N16" s="135"/>
    </row>
    <row r="17" spans="1:14" s="1" customFormat="1" ht="16.5" customHeight="1" thickBot="1" x14ac:dyDescent="0.3">
      <c r="A17" s="57"/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90"/>
    </row>
    <row r="18" spans="1:14" s="1" customFormat="1" ht="16.5" customHeight="1" x14ac:dyDescent="0.25">
      <c r="A18" s="306" t="s">
        <v>10</v>
      </c>
      <c r="B18" s="338">
        <f>B14/B12*B9</f>
        <v>233.16</v>
      </c>
      <c r="C18" s="339">
        <f>C14/C12*C9</f>
        <v>199.79999999999998</v>
      </c>
      <c r="D18" s="339">
        <f>D14/D12*D9</f>
        <v>156.80000000000001</v>
      </c>
      <c r="E18" s="339">
        <f>$E$14*E9/$E$12</f>
        <v>111.51</v>
      </c>
      <c r="F18" s="340">
        <f>$F$14*F9/$F$12</f>
        <v>56.55</v>
      </c>
      <c r="G18" s="341">
        <f>G14/G12*G9</f>
        <v>697.06666666666661</v>
      </c>
      <c r="H18" s="339">
        <f>H14/H12*H9</f>
        <v>653.91999999999996</v>
      </c>
      <c r="I18" s="339">
        <f>I14/I12*I9</f>
        <v>607.28800000000001</v>
      </c>
      <c r="J18" s="342">
        <f>J14/J12*J9</f>
        <v>574.0200000000001</v>
      </c>
      <c r="K18" s="343">
        <f>K14/K12*K9</f>
        <v>452.4</v>
      </c>
      <c r="L18" s="341">
        <f>L21/L12*L9</f>
        <v>502.40000000000003</v>
      </c>
      <c r="M18" s="344">
        <f>M21/M12*M9</f>
        <v>420.76</v>
      </c>
      <c r="N18" s="302">
        <f>N21/N12*N9</f>
        <v>0</v>
      </c>
    </row>
    <row r="19" spans="1:14" s="1" customFormat="1" ht="16.5" customHeight="1" x14ac:dyDescent="0.25">
      <c r="A19" s="307" t="s">
        <v>11</v>
      </c>
      <c r="B19" s="345">
        <f>B14/B12*B10</f>
        <v>226.2</v>
      </c>
      <c r="C19" s="346">
        <f>C14/C12*C10</f>
        <v>192.39999999999998</v>
      </c>
      <c r="D19" s="346">
        <f>$D$14*D10/$D$12</f>
        <v>152.88</v>
      </c>
      <c r="E19" s="346">
        <f>$E$14*E10/$E$12</f>
        <v>107.38000000000001</v>
      </c>
      <c r="F19" s="347">
        <f>$F$14*F10/$F$12</f>
        <v>56.55</v>
      </c>
      <c r="G19" s="348">
        <f>G14/G12*G10</f>
        <v>679.64</v>
      </c>
      <c r="H19" s="346">
        <f>H14/H12*H10</f>
        <v>634.4</v>
      </c>
      <c r="I19" s="346">
        <f>I14/I12*I10</f>
        <v>589.16</v>
      </c>
      <c r="J19" s="349">
        <f>J14/J12*J10</f>
        <v>552.76</v>
      </c>
      <c r="K19" s="350">
        <f>K14/K12*K10</f>
        <v>452.4</v>
      </c>
      <c r="L19" s="348">
        <f>L21/L12*L10</f>
        <v>489.84000000000003</v>
      </c>
      <c r="M19" s="351">
        <f>M21/M12*M10</f>
        <v>408.2</v>
      </c>
      <c r="N19" s="303">
        <f>N21/N12*N10</f>
        <v>0</v>
      </c>
    </row>
    <row r="20" spans="1:14" s="1" customFormat="1" ht="16.5" customHeight="1" x14ac:dyDescent="0.25">
      <c r="A20" s="308" t="s">
        <v>12</v>
      </c>
      <c r="B20" s="352">
        <f>B14/B12*B11</f>
        <v>167.04</v>
      </c>
      <c r="C20" s="353">
        <f>C14/C12*C11</f>
        <v>140.6</v>
      </c>
      <c r="D20" s="353">
        <f>$D$14*D11/$D$12</f>
        <v>113.68</v>
      </c>
      <c r="E20" s="353">
        <f>$E$14*E11/$E$12</f>
        <v>78.47</v>
      </c>
      <c r="F20" s="354">
        <f>$F$14*F11/$F$12</f>
        <v>43.5</v>
      </c>
      <c r="G20" s="355">
        <f>G14/G12*G11</f>
        <v>505.37333333333333</v>
      </c>
      <c r="H20" s="353">
        <f>H14/H12*H11</f>
        <v>468.48</v>
      </c>
      <c r="I20" s="353">
        <f>I14/I12*I11</f>
        <v>435.072</v>
      </c>
      <c r="J20" s="356">
        <f>J14/J12*J11</f>
        <v>403.94000000000005</v>
      </c>
      <c r="K20" s="357">
        <f>K14/K12*K11</f>
        <v>348</v>
      </c>
      <c r="L20" s="355">
        <f>L21/L12*L11</f>
        <v>364.24</v>
      </c>
      <c r="M20" s="358">
        <f>M21/M12*M11</f>
        <v>301.44</v>
      </c>
      <c r="N20" s="304">
        <f>N21/N12*N11</f>
        <v>0</v>
      </c>
    </row>
    <row r="21" spans="1:14" s="1" customFormat="1" ht="16.5" customHeight="1" thickBot="1" x14ac:dyDescent="0.3">
      <c r="A21" s="309"/>
      <c r="B21" s="359">
        <f>SUM(B18:B20)</f>
        <v>626.4</v>
      </c>
      <c r="C21" s="360">
        <f t="shared" ref="C21:K21" si="5">SUM(C18:C20)</f>
        <v>532.79999999999995</v>
      </c>
      <c r="D21" s="360">
        <f>SUM(D18:D20)</f>
        <v>423.36</v>
      </c>
      <c r="E21" s="360">
        <f t="shared" si="5"/>
        <v>297.36</v>
      </c>
      <c r="F21" s="361">
        <f t="shared" si="5"/>
        <v>156.6</v>
      </c>
      <c r="G21" s="362">
        <f t="shared" si="5"/>
        <v>1882.08</v>
      </c>
      <c r="H21" s="360">
        <f t="shared" si="5"/>
        <v>1756.8</v>
      </c>
      <c r="I21" s="360">
        <f>SUM(I18:I20)</f>
        <v>1631.52</v>
      </c>
      <c r="J21" s="363">
        <f t="shared" si="5"/>
        <v>1530.7200000000003</v>
      </c>
      <c r="K21" s="364">
        <f t="shared" si="5"/>
        <v>1252.8</v>
      </c>
      <c r="L21" s="362">
        <v>1356.48</v>
      </c>
      <c r="M21" s="365">
        <v>1130.4000000000001</v>
      </c>
      <c r="N21" s="305"/>
    </row>
    <row r="22" spans="1:14" s="1" customFormat="1" hidden="1" x14ac:dyDescent="0.25">
      <c r="A22" s="288"/>
      <c r="B22" s="288" t="b">
        <f>B14=B21</f>
        <v>1</v>
      </c>
      <c r="C22" s="288" t="b">
        <f t="shared" ref="C22:M22" si="6">C21=C14</f>
        <v>1</v>
      </c>
      <c r="D22" s="288" t="b">
        <f t="shared" si="6"/>
        <v>1</v>
      </c>
      <c r="E22" s="288" t="b">
        <f t="shared" si="6"/>
        <v>1</v>
      </c>
      <c r="F22" s="288" t="b">
        <f t="shared" si="6"/>
        <v>1</v>
      </c>
      <c r="G22" s="288" t="b">
        <f t="shared" si="6"/>
        <v>1</v>
      </c>
      <c r="H22" s="288" t="b">
        <f t="shared" si="6"/>
        <v>1</v>
      </c>
      <c r="I22" s="366" t="b">
        <f t="shared" si="6"/>
        <v>1</v>
      </c>
      <c r="J22" s="288" t="b">
        <f t="shared" si="6"/>
        <v>1</v>
      </c>
      <c r="K22" s="288" t="b">
        <f t="shared" si="6"/>
        <v>1</v>
      </c>
      <c r="L22" s="288" t="b">
        <f t="shared" si="6"/>
        <v>1</v>
      </c>
      <c r="M22" s="288" t="b">
        <f t="shared" si="6"/>
        <v>1</v>
      </c>
      <c r="N22" s="288"/>
    </row>
    <row r="23" spans="1:14" ht="15.75" thickBot="1" x14ac:dyDescent="0.3">
      <c r="A23" s="309" t="s">
        <v>73</v>
      </c>
      <c r="B23" s="359">
        <f t="shared" ref="B23:K23" si="7">B21/9</f>
        <v>69.599999999999994</v>
      </c>
      <c r="C23" s="360">
        <f t="shared" si="7"/>
        <v>59.199999999999996</v>
      </c>
      <c r="D23" s="360">
        <f t="shared" si="7"/>
        <v>47.04</v>
      </c>
      <c r="E23" s="360">
        <f t="shared" si="7"/>
        <v>33.04</v>
      </c>
      <c r="F23" s="361">
        <f t="shared" si="7"/>
        <v>17.399999999999999</v>
      </c>
      <c r="G23" s="362">
        <f t="shared" si="7"/>
        <v>209.12</v>
      </c>
      <c r="H23" s="360">
        <f t="shared" si="7"/>
        <v>195.2</v>
      </c>
      <c r="I23" s="360">
        <f t="shared" si="7"/>
        <v>181.28</v>
      </c>
      <c r="J23" s="363">
        <f t="shared" si="7"/>
        <v>170.08000000000004</v>
      </c>
      <c r="K23" s="364">
        <f t="shared" si="7"/>
        <v>139.19999999999999</v>
      </c>
      <c r="L23" s="362"/>
      <c r="M23" s="365"/>
    </row>
    <row r="24" spans="1:14" s="1" customFormat="1" x14ac:dyDescent="0.25">
      <c r="A24" s="5" t="s">
        <v>69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s="1" customFormat="1" x14ac:dyDescent="0.25">
      <c r="A25" s="5" t="s">
        <v>54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s="1" customFormat="1" x14ac:dyDescent="0.25">
      <c r="A26" s="5" t="s">
        <v>55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s="1" customFormat="1" hidden="1" x14ac:dyDescent="0.25">
      <c r="A27" s="287" t="s">
        <v>56</v>
      </c>
      <c r="N27" s="163"/>
    </row>
    <row r="28" spans="1:14" s="1" customFormat="1" hidden="1" x14ac:dyDescent="0.25">
      <c r="A28" s="193" t="s">
        <v>57</v>
      </c>
      <c r="B28" s="194">
        <v>2.0499999999999998</v>
      </c>
      <c r="C28" s="194">
        <v>2.1800000000000002</v>
      </c>
      <c r="D28" s="194">
        <v>2.31</v>
      </c>
      <c r="E28" s="194">
        <v>2.38</v>
      </c>
      <c r="F28" s="194">
        <v>2.57</v>
      </c>
      <c r="G28" s="194"/>
      <c r="H28" s="194">
        <v>4.29</v>
      </c>
      <c r="I28" s="194"/>
      <c r="J28" s="194">
        <v>4.68</v>
      </c>
      <c r="K28" s="194">
        <v>3.41</v>
      </c>
      <c r="L28" s="194"/>
      <c r="M28" s="194"/>
      <c r="N28" s="194"/>
    </row>
    <row r="29" spans="1:14" s="1" customFormat="1" hidden="1" x14ac:dyDescent="0.25">
      <c r="A29" s="193" t="s">
        <v>59</v>
      </c>
    </row>
    <row r="30" spans="1:14" hidden="1" x14ac:dyDescent="0.25"/>
    <row r="31" spans="1:14" hidden="1" x14ac:dyDescent="0.25">
      <c r="G31" s="368">
        <f>80*8.71</f>
        <v>696.80000000000007</v>
      </c>
      <c r="H31" s="368">
        <f>H9*H15</f>
        <v>653.91999999999996</v>
      </c>
      <c r="I31" s="368">
        <f>67*9.06</f>
        <v>607.02</v>
      </c>
    </row>
    <row r="32" spans="1:14" hidden="1" x14ac:dyDescent="0.25">
      <c r="G32" s="368">
        <f>78*8.71</f>
        <v>679.38000000000011</v>
      </c>
      <c r="H32" s="368">
        <f>H10*H15</f>
        <v>634.4</v>
      </c>
      <c r="I32" s="368">
        <f>65*9.06</f>
        <v>588.9</v>
      </c>
    </row>
    <row r="33" spans="7:9" hidden="1" x14ac:dyDescent="0.25">
      <c r="G33" s="368">
        <f>58*8.71</f>
        <v>505.18000000000006</v>
      </c>
      <c r="H33" s="368">
        <f>H11*H15</f>
        <v>468.48</v>
      </c>
      <c r="I33" s="368">
        <f>48*9.06</f>
        <v>434.88</v>
      </c>
    </row>
    <row r="34" spans="7:9" hidden="1" x14ac:dyDescent="0.25">
      <c r="G34" s="368">
        <f>SUM(G31:G33)</f>
        <v>1881.3600000000004</v>
      </c>
      <c r="H34" s="368">
        <f t="shared" ref="H34:I34" si="8">SUM(H31:H33)</f>
        <v>1756.8</v>
      </c>
      <c r="I34" s="368">
        <f t="shared" si="8"/>
        <v>1630.8000000000002</v>
      </c>
    </row>
    <row r="35" spans="7:9" hidden="1" x14ac:dyDescent="0.25">
      <c r="G35" s="368">
        <f>G34/9</f>
        <v>209.04000000000005</v>
      </c>
      <c r="H35" s="368">
        <f>H34/9</f>
        <v>195.2</v>
      </c>
      <c r="I35" s="368">
        <f>I34/9</f>
        <v>181.20000000000002</v>
      </c>
    </row>
    <row r="36" spans="7:9" hidden="1" x14ac:dyDescent="0.25">
      <c r="G36" s="368">
        <f>G35*9</f>
        <v>1881.3600000000004</v>
      </c>
      <c r="I36" s="368">
        <f>I35*9</f>
        <v>1630.8000000000002</v>
      </c>
    </row>
    <row r="37" spans="7:9" hidden="1" x14ac:dyDescent="0.25">
      <c r="G37" s="368">
        <f>G36-G14</f>
        <v>-0.71999999999957254</v>
      </c>
      <c r="I37" s="368">
        <f>I36-I14</f>
        <v>-0.71999999999979991</v>
      </c>
    </row>
  </sheetData>
  <mergeCells count="3">
    <mergeCell ref="A1:M1"/>
    <mergeCell ref="A7:A8"/>
    <mergeCell ref="G16:H16"/>
  </mergeCells>
  <pageMargins left="0.43307086614173229" right="0.39370078740157483" top="0.74803149606299213" bottom="0.74803149606299213" header="0.31496062992125984" footer="0.31496062992125984"/>
  <pageSetup paperSize="9" scale="9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4"/>
  <sheetViews>
    <sheetView topLeftCell="A2" zoomScaleNormal="100" workbookViewId="0">
      <pane xSplit="2" ySplit="7" topLeftCell="C9" activePane="bottomRight" state="frozen"/>
      <selection activeCell="A2" sqref="A2"/>
      <selection pane="topRight" activeCell="C2" sqref="C2"/>
      <selection pane="bottomLeft" activeCell="A9" sqref="A9"/>
      <selection pane="bottomRight" activeCell="A3" sqref="A3:L3"/>
    </sheetView>
  </sheetViews>
  <sheetFormatPr baseColWidth="10" defaultRowHeight="15" x14ac:dyDescent="0.25"/>
  <cols>
    <col min="1" max="1" width="14.28515625" style="5" customWidth="1"/>
    <col min="2" max="2" width="28.140625" style="1" customWidth="1"/>
    <col min="3" max="12" width="10.7109375" style="1" customWidth="1"/>
    <col min="13" max="14" width="10.7109375" style="1" hidden="1" customWidth="1"/>
    <col min="15" max="15" width="0.85546875" style="1" hidden="1" customWidth="1"/>
    <col min="16" max="16" width="11.42578125" style="1"/>
    <col min="17" max="17" width="33.42578125" style="1" customWidth="1"/>
    <col min="18" max="26" width="11.42578125" style="1"/>
    <col min="27" max="16384" width="11.42578125" style="5"/>
  </cols>
  <sheetData>
    <row r="1" spans="1:16" x14ac:dyDescent="0.25">
      <c r="B1" s="507" t="s">
        <v>78</v>
      </c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291"/>
    </row>
    <row r="2" spans="1:16" hidden="1" x14ac:dyDescent="0.25">
      <c r="B2" s="56"/>
      <c r="C2" s="65"/>
      <c r="D2" s="65"/>
      <c r="E2" s="65"/>
      <c r="F2" s="65"/>
      <c r="G2" s="142"/>
      <c r="H2" s="134"/>
      <c r="I2" s="134"/>
      <c r="J2" s="134"/>
      <c r="K2" s="369"/>
      <c r="L2" s="312"/>
      <c r="M2" s="134"/>
      <c r="N2" s="72"/>
      <c r="O2" s="72"/>
    </row>
    <row r="3" spans="1:16" x14ac:dyDescent="0.25">
      <c r="A3" s="520" t="s">
        <v>122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8"/>
      <c r="N3" s="135"/>
      <c r="O3" s="135"/>
    </row>
    <row r="4" spans="1:16" x14ac:dyDescent="0.25"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8"/>
      <c r="N4" s="135"/>
      <c r="O4" s="135"/>
    </row>
    <row r="5" spans="1:16" x14ac:dyDescent="0.25">
      <c r="B5" s="57" t="s">
        <v>77</v>
      </c>
      <c r="C5" s="7">
        <v>36</v>
      </c>
      <c r="D5" s="7">
        <v>36</v>
      </c>
      <c r="E5" s="7">
        <v>36</v>
      </c>
      <c r="F5" s="7">
        <v>36</v>
      </c>
      <c r="G5" s="144">
        <v>36</v>
      </c>
      <c r="H5" s="7">
        <v>36</v>
      </c>
      <c r="I5" s="7">
        <v>36</v>
      </c>
      <c r="J5" s="7">
        <v>36</v>
      </c>
      <c r="K5" s="6">
        <v>36</v>
      </c>
      <c r="L5" s="313">
        <v>36</v>
      </c>
      <c r="M5" s="8">
        <v>36</v>
      </c>
      <c r="N5" s="58">
        <v>36</v>
      </c>
      <c r="O5" s="292">
        <v>36</v>
      </c>
    </row>
    <row r="6" spans="1:16" ht="15.75" thickBot="1" x14ac:dyDescent="0.3">
      <c r="A6" s="530" t="s">
        <v>79</v>
      </c>
      <c r="B6" s="57" t="s">
        <v>76</v>
      </c>
      <c r="C6" s="9">
        <f>C5*5</f>
        <v>180</v>
      </c>
      <c r="D6" s="9">
        <f>D5*4</f>
        <v>144</v>
      </c>
      <c r="E6" s="7">
        <f>E5*3</f>
        <v>108</v>
      </c>
      <c r="F6" s="9">
        <f>F5*2</f>
        <v>72</v>
      </c>
      <c r="G6" s="144">
        <f>G5*1</f>
        <v>36</v>
      </c>
      <c r="H6" s="7">
        <f>H5*6</f>
        <v>216</v>
      </c>
      <c r="I6" s="9">
        <f>I5*5</f>
        <v>180</v>
      </c>
      <c r="J6" s="9">
        <f>J5*5</f>
        <v>180</v>
      </c>
      <c r="K6" s="30">
        <v>180</v>
      </c>
      <c r="L6" s="314">
        <v>180</v>
      </c>
      <c r="M6" s="8">
        <f>M5*6</f>
        <v>216</v>
      </c>
      <c r="N6" s="58">
        <v>180</v>
      </c>
      <c r="O6" s="292">
        <f>O5*5</f>
        <v>180</v>
      </c>
    </row>
    <row r="7" spans="1:16" ht="39" customHeight="1" thickBot="1" x14ac:dyDescent="0.3">
      <c r="A7" s="530"/>
      <c r="B7" s="523"/>
      <c r="C7" s="276" t="s">
        <v>3</v>
      </c>
      <c r="D7" s="274" t="s">
        <v>4</v>
      </c>
      <c r="E7" s="274" t="s">
        <v>5</v>
      </c>
      <c r="F7" s="274" t="s">
        <v>6</v>
      </c>
      <c r="G7" s="275" t="s">
        <v>7</v>
      </c>
      <c r="H7" s="367" t="s">
        <v>70</v>
      </c>
      <c r="I7" s="367" t="s">
        <v>71</v>
      </c>
      <c r="J7" s="367" t="s">
        <v>72</v>
      </c>
      <c r="K7" s="277" t="s">
        <v>40</v>
      </c>
      <c r="L7" s="315" t="s">
        <v>64</v>
      </c>
      <c r="M7" s="278" t="s">
        <v>65</v>
      </c>
      <c r="N7" s="301" t="s">
        <v>66</v>
      </c>
      <c r="O7" s="279" t="s">
        <v>67</v>
      </c>
    </row>
    <row r="8" spans="1:16" s="1" customFormat="1" ht="16.5" customHeight="1" thickBot="1" x14ac:dyDescent="0.3">
      <c r="A8" s="530"/>
      <c r="B8" s="524"/>
      <c r="C8" s="281" t="s">
        <v>1</v>
      </c>
      <c r="D8" s="282" t="s">
        <v>1</v>
      </c>
      <c r="E8" s="282" t="s">
        <v>1</v>
      </c>
      <c r="F8" s="282" t="s">
        <v>1</v>
      </c>
      <c r="G8" s="283" t="s">
        <v>1</v>
      </c>
      <c r="H8" s="282" t="s">
        <v>1</v>
      </c>
      <c r="I8" s="282" t="s">
        <v>1</v>
      </c>
      <c r="J8" s="282" t="s">
        <v>1</v>
      </c>
      <c r="K8" s="284" t="s">
        <v>1</v>
      </c>
      <c r="L8" s="316" t="s">
        <v>87</v>
      </c>
      <c r="M8" s="310" t="s">
        <v>1</v>
      </c>
      <c r="N8" s="285" t="s">
        <v>1</v>
      </c>
      <c r="O8" s="293" t="s">
        <v>1</v>
      </c>
    </row>
    <row r="9" spans="1:16" s="1" customFormat="1" ht="16.5" customHeight="1" thickBot="1" x14ac:dyDescent="0.3">
      <c r="A9" s="530"/>
      <c r="B9" s="270" t="s">
        <v>16</v>
      </c>
      <c r="C9" s="399">
        <f>14*5</f>
        <v>70</v>
      </c>
      <c r="D9" s="400">
        <f>14*4</f>
        <v>56</v>
      </c>
      <c r="E9" s="400">
        <f>14*3</f>
        <v>42</v>
      </c>
      <c r="F9" s="400">
        <f>14*2</f>
        <v>28</v>
      </c>
      <c r="G9" s="401">
        <f>14*1</f>
        <v>14</v>
      </c>
      <c r="H9" s="399">
        <f>14*6</f>
        <v>84</v>
      </c>
      <c r="I9" s="399">
        <f>C9</f>
        <v>70</v>
      </c>
      <c r="J9" s="399">
        <f>C9</f>
        <v>70</v>
      </c>
      <c r="K9" s="402">
        <f>C9</f>
        <v>70</v>
      </c>
      <c r="L9" s="403">
        <f>C9</f>
        <v>70</v>
      </c>
      <c r="M9" s="404">
        <f t="shared" ref="M9:N12" si="0">H9</f>
        <v>84</v>
      </c>
      <c r="N9" s="405">
        <f t="shared" si="0"/>
        <v>70</v>
      </c>
      <c r="O9" s="294">
        <f>K9</f>
        <v>70</v>
      </c>
    </row>
    <row r="10" spans="1:16" s="1" customFormat="1" ht="16.5" customHeight="1" thickBot="1" x14ac:dyDescent="0.3">
      <c r="A10" s="530"/>
      <c r="B10" s="269" t="s">
        <v>130</v>
      </c>
      <c r="C10" s="406">
        <v>50</v>
      </c>
      <c r="D10" s="407">
        <v>40</v>
      </c>
      <c r="E10" s="407">
        <v>30</v>
      </c>
      <c r="F10" s="407">
        <v>20</v>
      </c>
      <c r="G10" s="408">
        <v>10</v>
      </c>
      <c r="H10" s="406">
        <v>60</v>
      </c>
      <c r="I10" s="406">
        <f>C10</f>
        <v>50</v>
      </c>
      <c r="J10" s="406">
        <f>C10</f>
        <v>50</v>
      </c>
      <c r="K10" s="409">
        <f>C10</f>
        <v>50</v>
      </c>
      <c r="L10" s="410">
        <f>C10</f>
        <v>50</v>
      </c>
      <c r="M10" s="406">
        <f t="shared" si="0"/>
        <v>60</v>
      </c>
      <c r="N10" s="411">
        <f t="shared" si="0"/>
        <v>50</v>
      </c>
      <c r="O10" s="295">
        <f t="shared" ref="O10:O12" si="1">K10</f>
        <v>50</v>
      </c>
      <c r="P10" s="1" t="s">
        <v>75</v>
      </c>
    </row>
    <row r="11" spans="1:16" s="1" customFormat="1" ht="16.5" customHeight="1" thickBot="1" x14ac:dyDescent="0.3">
      <c r="A11" s="530"/>
      <c r="B11" s="121" t="s">
        <v>131</v>
      </c>
      <c r="C11" s="412">
        <v>60</v>
      </c>
      <c r="D11" s="413">
        <v>48</v>
      </c>
      <c r="E11" s="413">
        <v>36</v>
      </c>
      <c r="F11" s="413">
        <v>24</v>
      </c>
      <c r="G11" s="414">
        <v>12</v>
      </c>
      <c r="H11" s="412">
        <v>72</v>
      </c>
      <c r="I11" s="412">
        <f>C11</f>
        <v>60</v>
      </c>
      <c r="J11" s="412">
        <f>C11</f>
        <v>60</v>
      </c>
      <c r="K11" s="415">
        <f>C11</f>
        <v>60</v>
      </c>
      <c r="L11" s="416">
        <f>C11</f>
        <v>60</v>
      </c>
      <c r="M11" s="417">
        <f t="shared" si="0"/>
        <v>72</v>
      </c>
      <c r="N11" s="418">
        <f t="shared" si="0"/>
        <v>60</v>
      </c>
      <c r="O11" s="296">
        <f t="shared" si="1"/>
        <v>60</v>
      </c>
      <c r="P11" s="1" t="s">
        <v>75</v>
      </c>
    </row>
    <row r="12" spans="1:16" s="1" customFormat="1" ht="16.5" customHeight="1" thickBot="1" x14ac:dyDescent="0.3">
      <c r="A12" s="530"/>
      <c r="B12" s="271" t="s">
        <v>76</v>
      </c>
      <c r="C12" s="267">
        <f t="shared" ref="C12:K12" si="2">SUM(C9:C11)</f>
        <v>180</v>
      </c>
      <c r="D12" s="102">
        <f t="shared" si="2"/>
        <v>144</v>
      </c>
      <c r="E12" s="102">
        <f t="shared" si="2"/>
        <v>108</v>
      </c>
      <c r="F12" s="102">
        <f t="shared" si="2"/>
        <v>72</v>
      </c>
      <c r="G12" s="151">
        <f t="shared" si="2"/>
        <v>36</v>
      </c>
      <c r="H12" s="419">
        <f t="shared" si="2"/>
        <v>216</v>
      </c>
      <c r="I12" s="419">
        <f t="shared" si="2"/>
        <v>180</v>
      </c>
      <c r="J12" s="419">
        <f t="shared" si="2"/>
        <v>180</v>
      </c>
      <c r="K12" s="420">
        <f t="shared" si="2"/>
        <v>180</v>
      </c>
      <c r="L12" s="421">
        <f>SUM(L9:L11)</f>
        <v>180</v>
      </c>
      <c r="M12" s="422">
        <f t="shared" si="0"/>
        <v>216</v>
      </c>
      <c r="N12" s="423">
        <f t="shared" si="0"/>
        <v>180</v>
      </c>
      <c r="O12" s="297">
        <f t="shared" si="1"/>
        <v>180</v>
      </c>
      <c r="P12" s="375" t="s">
        <v>74</v>
      </c>
    </row>
    <row r="13" spans="1:16" s="1" customFormat="1" ht="24.75" customHeight="1" x14ac:dyDescent="0.25">
      <c r="A13" s="532" t="s">
        <v>111</v>
      </c>
      <c r="B13" s="429" t="s">
        <v>88</v>
      </c>
      <c r="C13" s="382">
        <f>C14*C12</f>
        <v>540</v>
      </c>
      <c r="D13" s="380">
        <f>D14*D12</f>
        <v>466.56000000000006</v>
      </c>
      <c r="E13" s="380">
        <f>E14*E12</f>
        <v>375.84000000000003</v>
      </c>
      <c r="F13" s="380">
        <f>F14*F12</f>
        <v>267.12000000000006</v>
      </c>
      <c r="G13" s="381">
        <f>G14*G12</f>
        <v>142.20000000000002</v>
      </c>
      <c r="H13" s="382">
        <v>1350</v>
      </c>
      <c r="I13" s="380">
        <v>1305</v>
      </c>
      <c r="J13" s="380">
        <v>1197</v>
      </c>
      <c r="K13" s="381">
        <v>1152</v>
      </c>
      <c r="L13" s="380">
        <v>1080</v>
      </c>
      <c r="M13" s="380"/>
      <c r="N13" s="385"/>
      <c r="O13" s="70"/>
      <c r="P13" s="375"/>
    </row>
    <row r="14" spans="1:16" s="1" customFormat="1" ht="24.75" customHeight="1" thickBot="1" x14ac:dyDescent="0.3">
      <c r="A14" s="533"/>
      <c r="B14" s="430" t="s">
        <v>89</v>
      </c>
      <c r="C14" s="428">
        <f>C19-C15</f>
        <v>3</v>
      </c>
      <c r="D14" s="426">
        <f t="shared" ref="D14:G14" si="3">D19-D15</f>
        <v>3.24</v>
      </c>
      <c r="E14" s="426">
        <f t="shared" si="3"/>
        <v>3.4800000000000004</v>
      </c>
      <c r="F14" s="426">
        <f t="shared" si="3"/>
        <v>3.7100000000000009</v>
      </c>
      <c r="G14" s="434">
        <f t="shared" si="3"/>
        <v>3.95</v>
      </c>
      <c r="H14" s="428">
        <f>H13/H12</f>
        <v>6.25</v>
      </c>
      <c r="I14" s="426">
        <f>I13/I12</f>
        <v>7.25</v>
      </c>
      <c r="J14" s="426">
        <f>J13/J12</f>
        <v>6.65</v>
      </c>
      <c r="K14" s="434">
        <f>K13/K12</f>
        <v>6.4</v>
      </c>
      <c r="L14" s="434">
        <f>L13/L12</f>
        <v>6</v>
      </c>
      <c r="M14" s="426"/>
      <c r="N14" s="427"/>
      <c r="O14" s="70"/>
      <c r="P14" s="375"/>
    </row>
    <row r="15" spans="1:16" s="1" customFormat="1" ht="24.75" hidden="1" customHeight="1" x14ac:dyDescent="0.3">
      <c r="A15" s="534" t="s">
        <v>114</v>
      </c>
      <c r="B15" s="431" t="s">
        <v>107</v>
      </c>
      <c r="C15" s="382">
        <v>0.8</v>
      </c>
      <c r="D15" s="380">
        <v>0.8</v>
      </c>
      <c r="E15" s="380">
        <v>0.8</v>
      </c>
      <c r="F15" s="380">
        <v>0.8</v>
      </c>
      <c r="G15" s="386">
        <v>0.8</v>
      </c>
      <c r="H15" s="380">
        <f>(144+144)/(180+180)</f>
        <v>0.8</v>
      </c>
      <c r="I15" s="380">
        <f>(144+144)/(180+180)</f>
        <v>0.8</v>
      </c>
      <c r="J15" s="380">
        <f>(144+115.2)/(180+144)</f>
        <v>0.79999999999999993</v>
      </c>
      <c r="K15" s="386">
        <f>(144+115.2)/(180+144)</f>
        <v>0.79999999999999993</v>
      </c>
      <c r="L15" s="380"/>
      <c r="M15" s="380"/>
      <c r="N15" s="385"/>
      <c r="O15" s="70"/>
      <c r="P15" s="375"/>
    </row>
    <row r="16" spans="1:16" s="1" customFormat="1" ht="24.75" hidden="1" customHeight="1" thickBot="1" x14ac:dyDescent="0.3">
      <c r="A16" s="533"/>
      <c r="B16" s="432" t="s">
        <v>112</v>
      </c>
      <c r="C16" s="362">
        <f>C15*C12</f>
        <v>144</v>
      </c>
      <c r="D16" s="360">
        <f>D15*D12</f>
        <v>115.2</v>
      </c>
      <c r="E16" s="360">
        <f>E15*E12</f>
        <v>86.4</v>
      </c>
      <c r="F16" s="360">
        <f>F15*F12</f>
        <v>57.6</v>
      </c>
      <c r="G16" s="434">
        <f>G15*G12</f>
        <v>28.8</v>
      </c>
      <c r="H16" s="360">
        <v>288</v>
      </c>
      <c r="I16" s="360">
        <v>288</v>
      </c>
      <c r="J16" s="360">
        <v>259.2</v>
      </c>
      <c r="K16" s="434">
        <v>259.2</v>
      </c>
      <c r="L16" s="360"/>
      <c r="M16" s="360"/>
      <c r="N16" s="365"/>
      <c r="O16" s="70"/>
      <c r="P16" s="375"/>
    </row>
    <row r="17" spans="1:24" s="1" customFormat="1" ht="24.75" hidden="1" customHeight="1" thickBot="1" x14ac:dyDescent="0.3">
      <c r="A17" s="425" t="s">
        <v>91</v>
      </c>
      <c r="B17" s="433" t="s">
        <v>113</v>
      </c>
      <c r="C17" s="377" t="b">
        <f t="shared" ref="C17:K17" si="4">C13+C16=C18</f>
        <v>1</v>
      </c>
      <c r="D17" s="376" t="b">
        <f t="shared" si="4"/>
        <v>1</v>
      </c>
      <c r="E17" s="376" t="b">
        <f t="shared" si="4"/>
        <v>1</v>
      </c>
      <c r="F17" s="376" t="b">
        <f t="shared" si="4"/>
        <v>1</v>
      </c>
      <c r="G17" s="386" t="b">
        <f t="shared" si="4"/>
        <v>1</v>
      </c>
      <c r="H17" s="376" t="b">
        <f t="shared" si="4"/>
        <v>1</v>
      </c>
      <c r="I17" s="376" t="b">
        <f t="shared" si="4"/>
        <v>1</v>
      </c>
      <c r="J17" s="376" t="b">
        <f t="shared" si="4"/>
        <v>1</v>
      </c>
      <c r="K17" s="386" t="b">
        <f t="shared" si="4"/>
        <v>1</v>
      </c>
      <c r="L17" s="376"/>
      <c r="M17" s="376"/>
      <c r="N17" s="388"/>
      <c r="O17" s="70"/>
      <c r="P17" s="375"/>
    </row>
    <row r="18" spans="1:24" s="1" customFormat="1" ht="24.75" customHeight="1" thickBot="1" x14ac:dyDescent="0.3">
      <c r="A18" s="528" t="s">
        <v>110</v>
      </c>
      <c r="B18" s="429" t="s">
        <v>88</v>
      </c>
      <c r="C18" s="382">
        <v>684</v>
      </c>
      <c r="D18" s="380">
        <v>581.76</v>
      </c>
      <c r="E18" s="380">
        <v>462.24</v>
      </c>
      <c r="F18" s="380">
        <v>324.72000000000003</v>
      </c>
      <c r="G18" s="381">
        <v>171</v>
      </c>
      <c r="H18" s="380">
        <v>1638</v>
      </c>
      <c r="I18" s="380">
        <v>1593</v>
      </c>
      <c r="J18" s="380">
        <v>1456.2</v>
      </c>
      <c r="K18" s="381">
        <v>1411.2</v>
      </c>
      <c r="L18" s="360">
        <v>1368</v>
      </c>
      <c r="M18" s="380"/>
      <c r="N18" s="385"/>
      <c r="O18" s="299"/>
      <c r="P18" s="1" t="s">
        <v>75</v>
      </c>
    </row>
    <row r="19" spans="1:24" s="1" customFormat="1" ht="24.75" customHeight="1" thickBot="1" x14ac:dyDescent="0.3">
      <c r="A19" s="529"/>
      <c r="B19" s="432" t="s">
        <v>89</v>
      </c>
      <c r="C19" s="362">
        <f t="shared" ref="C19:J19" si="5">C18/C12</f>
        <v>3.8</v>
      </c>
      <c r="D19" s="360">
        <f t="shared" si="5"/>
        <v>4.04</v>
      </c>
      <c r="E19" s="360">
        <f t="shared" si="5"/>
        <v>4.28</v>
      </c>
      <c r="F19" s="360">
        <f t="shared" si="5"/>
        <v>4.5100000000000007</v>
      </c>
      <c r="G19" s="434">
        <f t="shared" si="5"/>
        <v>4.75</v>
      </c>
      <c r="H19" s="360">
        <f t="shared" si="5"/>
        <v>7.583333333333333</v>
      </c>
      <c r="I19" s="360">
        <f t="shared" si="5"/>
        <v>8.85</v>
      </c>
      <c r="J19" s="360">
        <f t="shared" si="5"/>
        <v>8.09</v>
      </c>
      <c r="K19" s="434">
        <f>K18/K12</f>
        <v>7.84</v>
      </c>
      <c r="L19" s="434">
        <f>L18/L12</f>
        <v>7.6</v>
      </c>
      <c r="M19" s="360"/>
      <c r="N19" s="365"/>
      <c r="O19" s="300">
        <f>O18/O12</f>
        <v>0</v>
      </c>
      <c r="P19" s="375" t="s">
        <v>74</v>
      </c>
    </row>
    <row r="20" spans="1:24" s="1" customFormat="1" ht="24.75" customHeight="1" x14ac:dyDescent="0.25">
      <c r="A20" s="526" t="s">
        <v>90</v>
      </c>
      <c r="B20" s="429" t="s">
        <v>88</v>
      </c>
      <c r="C20" s="382">
        <v>684</v>
      </c>
      <c r="D20" s="380">
        <v>581.76</v>
      </c>
      <c r="E20" s="380">
        <v>462.24</v>
      </c>
      <c r="F20" s="380">
        <v>324.72000000000003</v>
      </c>
      <c r="G20" s="381">
        <v>171</v>
      </c>
      <c r="H20" s="380">
        <v>2178</v>
      </c>
      <c r="I20" s="380">
        <v>2043</v>
      </c>
      <c r="J20" s="380">
        <v>1906.2</v>
      </c>
      <c r="K20" s="381">
        <v>1771.2</v>
      </c>
      <c r="L20" s="380">
        <v>1368</v>
      </c>
      <c r="M20" s="380">
        <v>1642</v>
      </c>
      <c r="N20" s="385">
        <v>1368</v>
      </c>
      <c r="O20" s="70"/>
      <c r="P20" s="1" t="s">
        <v>75</v>
      </c>
    </row>
    <row r="21" spans="1:24" s="1" customFormat="1" ht="24.75" customHeight="1" thickBot="1" x14ac:dyDescent="0.3">
      <c r="A21" s="527"/>
      <c r="B21" s="432" t="s">
        <v>89</v>
      </c>
      <c r="C21" s="362">
        <f t="shared" ref="C21:J21" si="6">C20/C12</f>
        <v>3.8</v>
      </c>
      <c r="D21" s="360">
        <f t="shared" si="6"/>
        <v>4.04</v>
      </c>
      <c r="E21" s="360">
        <f t="shared" si="6"/>
        <v>4.28</v>
      </c>
      <c r="F21" s="360">
        <f t="shared" si="6"/>
        <v>4.5100000000000007</v>
      </c>
      <c r="G21" s="434">
        <f t="shared" si="6"/>
        <v>4.75</v>
      </c>
      <c r="H21" s="360">
        <f>H20/H12</f>
        <v>10.083333333333334</v>
      </c>
      <c r="I21" s="360">
        <f>I20/I12</f>
        <v>11.35</v>
      </c>
      <c r="J21" s="360">
        <f t="shared" si="6"/>
        <v>10.59</v>
      </c>
      <c r="K21" s="434">
        <f>K20/K12</f>
        <v>9.84</v>
      </c>
      <c r="L21" s="434">
        <f>L20/L12</f>
        <v>7.6</v>
      </c>
      <c r="M21" s="360">
        <f>M20/M12</f>
        <v>7.6018518518518521</v>
      </c>
      <c r="N21" s="365"/>
      <c r="O21" s="70"/>
      <c r="P21" s="375" t="s">
        <v>74</v>
      </c>
    </row>
    <row r="22" spans="1:24" s="1" customFormat="1" ht="16.5" customHeight="1" x14ac:dyDescent="0.25">
      <c r="A22" s="5"/>
      <c r="B22" s="1" t="s">
        <v>108</v>
      </c>
      <c r="C22" s="397" t="s">
        <v>109</v>
      </c>
      <c r="D22" s="374"/>
      <c r="E22" s="531" t="s">
        <v>119</v>
      </c>
      <c r="F22" s="531"/>
      <c r="G22" s="374"/>
      <c r="H22" s="470" t="s">
        <v>120</v>
      </c>
      <c r="I22" s="470"/>
      <c r="J22" s="396"/>
      <c r="K22" s="525" t="s">
        <v>121</v>
      </c>
      <c r="L22" s="525"/>
      <c r="M22" s="396"/>
      <c r="N22" s="135"/>
      <c r="Q22" s="397"/>
      <c r="R22" s="374"/>
      <c r="S22" s="521"/>
      <c r="T22" s="521"/>
      <c r="U22" s="397"/>
      <c r="V22" s="374"/>
      <c r="W22" s="469"/>
      <c r="X22" s="396"/>
    </row>
    <row r="23" spans="1:24" ht="15.75" thickBot="1" x14ac:dyDescent="0.3">
      <c r="H23" s="368"/>
      <c r="J23" s="368"/>
      <c r="S23" s="368"/>
    </row>
    <row r="24" spans="1:24" s="1" customFormat="1" ht="16.5" customHeight="1" x14ac:dyDescent="0.25">
      <c r="A24" s="536" t="s">
        <v>117</v>
      </c>
      <c r="B24" s="306" t="s">
        <v>81</v>
      </c>
      <c r="C24" s="338">
        <f t="shared" ref="C24:L24" si="7">C28/C12*C9</f>
        <v>210</v>
      </c>
      <c r="D24" s="339">
        <f t="shared" si="7"/>
        <v>181.44</v>
      </c>
      <c r="E24" s="339">
        <f t="shared" si="7"/>
        <v>146.16</v>
      </c>
      <c r="F24" s="339">
        <f t="shared" si="7"/>
        <v>103.88</v>
      </c>
      <c r="G24" s="340">
        <f t="shared" si="7"/>
        <v>55.3</v>
      </c>
      <c r="H24" s="341">
        <f t="shared" si="7"/>
        <v>525</v>
      </c>
      <c r="I24" s="339">
        <f t="shared" si="7"/>
        <v>507.5</v>
      </c>
      <c r="J24" s="339">
        <f t="shared" si="7"/>
        <v>465.5</v>
      </c>
      <c r="K24" s="342">
        <f>K28/K12*K9</f>
        <v>448</v>
      </c>
      <c r="L24" s="342">
        <f t="shared" si="7"/>
        <v>420</v>
      </c>
      <c r="M24" s="339"/>
      <c r="N24" s="344"/>
      <c r="O24" s="302" t="e">
        <f>O29/O6*#REF!</f>
        <v>#REF!</v>
      </c>
    </row>
    <row r="25" spans="1:24" s="1" customFormat="1" ht="16.5" customHeight="1" x14ac:dyDescent="0.25">
      <c r="A25" s="537"/>
      <c r="B25" s="461" t="s">
        <v>82</v>
      </c>
      <c r="C25" s="457">
        <f t="shared" ref="C25:L25" si="8">C28/C12*C10</f>
        <v>150</v>
      </c>
      <c r="D25" s="443">
        <f t="shared" si="8"/>
        <v>129.60000000000002</v>
      </c>
      <c r="E25" s="443">
        <f t="shared" si="8"/>
        <v>104.4</v>
      </c>
      <c r="F25" s="443">
        <f t="shared" si="8"/>
        <v>74.2</v>
      </c>
      <c r="G25" s="347">
        <f t="shared" si="8"/>
        <v>39.5</v>
      </c>
      <c r="H25" s="443">
        <f t="shared" si="8"/>
        <v>375</v>
      </c>
      <c r="I25" s="443">
        <f t="shared" si="8"/>
        <v>362.5</v>
      </c>
      <c r="J25" s="443">
        <f t="shared" si="8"/>
        <v>332.5</v>
      </c>
      <c r="K25" s="443">
        <f t="shared" si="8"/>
        <v>320</v>
      </c>
      <c r="L25" s="443">
        <f t="shared" si="8"/>
        <v>300</v>
      </c>
      <c r="M25" s="443"/>
      <c r="N25" s="444"/>
      <c r="O25" s="303">
        <f>O29/O6*O2</f>
        <v>0</v>
      </c>
    </row>
    <row r="26" spans="1:24" s="1" customFormat="1" ht="16.5" customHeight="1" x14ac:dyDescent="0.25">
      <c r="A26" s="537"/>
      <c r="B26" s="259" t="s">
        <v>83</v>
      </c>
      <c r="C26" s="458">
        <f t="shared" ref="C26:L26" si="9">C28/C12*C11</f>
        <v>180</v>
      </c>
      <c r="D26" s="445">
        <f t="shared" si="9"/>
        <v>155.52000000000001</v>
      </c>
      <c r="E26" s="445">
        <f t="shared" si="9"/>
        <v>125.28</v>
      </c>
      <c r="F26" s="445">
        <f t="shared" si="9"/>
        <v>89.039999999999992</v>
      </c>
      <c r="G26" s="354">
        <f t="shared" si="9"/>
        <v>47.4</v>
      </c>
      <c r="H26" s="445">
        <f t="shared" si="9"/>
        <v>450</v>
      </c>
      <c r="I26" s="445">
        <f t="shared" si="9"/>
        <v>435</v>
      </c>
      <c r="J26" s="445">
        <f t="shared" si="9"/>
        <v>399</v>
      </c>
      <c r="K26" s="445">
        <f t="shared" si="9"/>
        <v>384</v>
      </c>
      <c r="L26" s="445">
        <f t="shared" si="9"/>
        <v>360</v>
      </c>
      <c r="M26" s="445"/>
      <c r="N26" s="446"/>
      <c r="O26" s="304">
        <f>O29/O6*O5</f>
        <v>0</v>
      </c>
    </row>
    <row r="27" spans="1:24" s="1" customFormat="1" ht="16.5" hidden="1" customHeight="1" thickBot="1" x14ac:dyDescent="0.3">
      <c r="A27" s="537"/>
      <c r="B27" s="462"/>
      <c r="C27" s="448" t="b">
        <f t="shared" ref="C27:K27" si="10">SUM(C24:C26)=C28</f>
        <v>1</v>
      </c>
      <c r="D27" s="447" t="b">
        <f t="shared" si="10"/>
        <v>1</v>
      </c>
      <c r="E27" s="447" t="b">
        <f t="shared" si="10"/>
        <v>1</v>
      </c>
      <c r="F27" s="447" t="b">
        <f t="shared" si="10"/>
        <v>1</v>
      </c>
      <c r="G27" s="447" t="b">
        <f t="shared" si="10"/>
        <v>1</v>
      </c>
      <c r="H27" s="447" t="b">
        <f t="shared" si="10"/>
        <v>1</v>
      </c>
      <c r="I27" s="447" t="b">
        <f t="shared" si="10"/>
        <v>1</v>
      </c>
      <c r="J27" s="447" t="b">
        <f t="shared" si="10"/>
        <v>1</v>
      </c>
      <c r="K27" s="447" t="b">
        <f t="shared" si="10"/>
        <v>1</v>
      </c>
      <c r="L27" s="364"/>
      <c r="M27" s="448"/>
      <c r="N27" s="449"/>
      <c r="O27" s="390"/>
    </row>
    <row r="28" spans="1:24" s="1" customFormat="1" ht="16.5" customHeight="1" thickBot="1" x14ac:dyDescent="0.3">
      <c r="A28" s="537"/>
      <c r="B28" s="463" t="s">
        <v>84</v>
      </c>
      <c r="C28" s="362">
        <v>540</v>
      </c>
      <c r="D28" s="360">
        <v>466.56</v>
      </c>
      <c r="E28" s="360">
        <v>375.84</v>
      </c>
      <c r="F28" s="360">
        <v>267.12</v>
      </c>
      <c r="G28" s="363">
        <v>142.19999999999999</v>
      </c>
      <c r="H28" s="362">
        <v>1350</v>
      </c>
      <c r="I28" s="360">
        <v>1305</v>
      </c>
      <c r="J28" s="360">
        <v>1197</v>
      </c>
      <c r="K28" s="363">
        <v>1152</v>
      </c>
      <c r="L28" s="364">
        <v>1080</v>
      </c>
      <c r="M28" s="362"/>
      <c r="N28" s="365"/>
      <c r="O28" s="390"/>
    </row>
    <row r="29" spans="1:24" s="1" customFormat="1" ht="31.5" customHeight="1" thickBot="1" x14ac:dyDescent="0.3">
      <c r="A29" s="537"/>
      <c r="B29" s="464" t="s">
        <v>85</v>
      </c>
      <c r="C29" s="336">
        <f>C28/9</f>
        <v>60</v>
      </c>
      <c r="D29" s="489">
        <f t="shared" ref="D29:L29" si="11">D28/9</f>
        <v>51.84</v>
      </c>
      <c r="E29" s="489">
        <f>E28/9</f>
        <v>41.76</v>
      </c>
      <c r="F29" s="489">
        <f t="shared" si="11"/>
        <v>29.68</v>
      </c>
      <c r="G29" s="489">
        <f t="shared" si="11"/>
        <v>15.799999999999999</v>
      </c>
      <c r="H29" s="333">
        <f t="shared" si="11"/>
        <v>150</v>
      </c>
      <c r="I29" s="333">
        <f t="shared" si="11"/>
        <v>145</v>
      </c>
      <c r="J29" s="333">
        <f t="shared" si="11"/>
        <v>133</v>
      </c>
      <c r="K29" s="333">
        <f t="shared" si="11"/>
        <v>128</v>
      </c>
      <c r="L29" s="333">
        <f t="shared" si="11"/>
        <v>120</v>
      </c>
      <c r="M29" s="333"/>
      <c r="N29" s="337"/>
      <c r="O29" s="305"/>
    </row>
    <row r="30" spans="1:24" s="1" customFormat="1" ht="15" customHeight="1" x14ac:dyDescent="0.25">
      <c r="A30" s="537"/>
      <c r="B30" s="465" t="s">
        <v>115</v>
      </c>
      <c r="C30" s="459">
        <v>0</v>
      </c>
      <c r="D30" s="454">
        <v>0</v>
      </c>
      <c r="E30" s="454">
        <v>0</v>
      </c>
      <c r="F30" s="454">
        <v>0</v>
      </c>
      <c r="G30" s="454">
        <v>0</v>
      </c>
      <c r="H30" s="454">
        <f>H42</f>
        <v>388.8</v>
      </c>
      <c r="I30" s="454">
        <f>I42</f>
        <v>324</v>
      </c>
      <c r="J30" s="454">
        <f>J42</f>
        <v>324</v>
      </c>
      <c r="K30" s="454">
        <f>K42</f>
        <v>259.2</v>
      </c>
      <c r="L30" s="384">
        <v>0</v>
      </c>
      <c r="M30" s="455"/>
      <c r="N30" s="456"/>
      <c r="O30" s="373"/>
    </row>
    <row r="31" spans="1:24" s="1" customFormat="1" ht="15" customHeight="1" x14ac:dyDescent="0.25">
      <c r="A31" s="537"/>
      <c r="B31" s="466" t="s">
        <v>118</v>
      </c>
      <c r="C31" s="460">
        <f>C16</f>
        <v>144</v>
      </c>
      <c r="D31" s="453">
        <f>D16</f>
        <v>115.2</v>
      </c>
      <c r="E31" s="453">
        <f>E16</f>
        <v>86.4</v>
      </c>
      <c r="F31" s="453">
        <f>F16</f>
        <v>57.6</v>
      </c>
      <c r="G31" s="453">
        <f>G16</f>
        <v>28.8</v>
      </c>
      <c r="H31" s="453">
        <v>288</v>
      </c>
      <c r="I31" s="453">
        <v>288</v>
      </c>
      <c r="J31" s="453">
        <v>259.2</v>
      </c>
      <c r="K31" s="453">
        <v>259.2</v>
      </c>
      <c r="L31" s="460">
        <f>C31*2</f>
        <v>288</v>
      </c>
      <c r="M31" s="392"/>
      <c r="N31" s="393"/>
      <c r="O31" s="373"/>
    </row>
    <row r="32" spans="1:24" s="1" customFormat="1" ht="15" customHeight="1" thickBot="1" x14ac:dyDescent="0.3">
      <c r="A32" s="538"/>
      <c r="B32" s="463" t="s">
        <v>86</v>
      </c>
      <c r="C32" s="362">
        <f t="shared" ref="C32:K32" si="12">C28+C30+C31</f>
        <v>684</v>
      </c>
      <c r="D32" s="360">
        <f t="shared" si="12"/>
        <v>581.76</v>
      </c>
      <c r="E32" s="360">
        <f t="shared" si="12"/>
        <v>462.24</v>
      </c>
      <c r="F32" s="360">
        <f t="shared" si="12"/>
        <v>324.72000000000003</v>
      </c>
      <c r="G32" s="360">
        <f t="shared" si="12"/>
        <v>171</v>
      </c>
      <c r="H32" s="360">
        <f t="shared" si="12"/>
        <v>2026.8</v>
      </c>
      <c r="I32" s="360">
        <f t="shared" si="12"/>
        <v>1917</v>
      </c>
      <c r="J32" s="360">
        <f t="shared" si="12"/>
        <v>1780.2</v>
      </c>
      <c r="K32" s="360">
        <f t="shared" si="12"/>
        <v>1670.4</v>
      </c>
      <c r="L32" s="441">
        <v>1368</v>
      </c>
      <c r="M32" s="108"/>
      <c r="N32" s="109"/>
      <c r="O32" s="373"/>
    </row>
    <row r="33" spans="1:16" s="1" customFormat="1" ht="15" hidden="1" customHeight="1" x14ac:dyDescent="0.25">
      <c r="A33" s="450"/>
      <c r="B33" s="387"/>
      <c r="C33" s="451">
        <v>684</v>
      </c>
      <c r="D33" s="387">
        <v>581.76</v>
      </c>
      <c r="E33" s="387">
        <v>462.24</v>
      </c>
      <c r="F33" s="387">
        <v>324.72000000000003</v>
      </c>
      <c r="G33" s="387">
        <v>171</v>
      </c>
      <c r="H33" s="452">
        <v>2026.8</v>
      </c>
      <c r="I33" s="452">
        <v>1917</v>
      </c>
      <c r="J33" s="452">
        <v>1780.2</v>
      </c>
      <c r="K33" s="452">
        <v>1670.4</v>
      </c>
      <c r="L33" s="387"/>
      <c r="M33" s="387"/>
      <c r="N33" s="387"/>
      <c r="O33" s="387"/>
    </row>
    <row r="34" spans="1:16" s="1" customFormat="1" ht="15" hidden="1" customHeight="1" x14ac:dyDescent="0.25">
      <c r="A34" s="450"/>
      <c r="B34" s="387"/>
      <c r="C34" s="387" t="b">
        <f t="shared" ref="C34:K34" si="13">C32=C33</f>
        <v>1</v>
      </c>
      <c r="D34" s="387" t="b">
        <f t="shared" si="13"/>
        <v>1</v>
      </c>
      <c r="E34" s="387" t="b">
        <f t="shared" si="13"/>
        <v>1</v>
      </c>
      <c r="F34" s="387" t="b">
        <f t="shared" si="13"/>
        <v>1</v>
      </c>
      <c r="G34" s="387" t="b">
        <f t="shared" si="13"/>
        <v>1</v>
      </c>
      <c r="H34" s="387" t="b">
        <f t="shared" si="13"/>
        <v>1</v>
      </c>
      <c r="I34" s="387" t="b">
        <f t="shared" si="13"/>
        <v>1</v>
      </c>
      <c r="J34" s="387" t="b">
        <f t="shared" si="13"/>
        <v>1</v>
      </c>
      <c r="K34" s="387" t="b">
        <f t="shared" si="13"/>
        <v>1</v>
      </c>
      <c r="L34" s="387"/>
      <c r="M34" s="387"/>
      <c r="N34" s="387"/>
      <c r="O34" s="387"/>
    </row>
    <row r="35" spans="1:16" s="1" customFormat="1" ht="15" customHeight="1" thickBot="1" x14ac:dyDescent="0.3">
      <c r="A35" s="450"/>
      <c r="B35" s="387"/>
      <c r="C35" s="387"/>
      <c r="D35" s="387"/>
      <c r="E35" s="387"/>
      <c r="F35" s="387"/>
      <c r="G35" s="387"/>
      <c r="H35" s="387"/>
      <c r="I35" s="387"/>
      <c r="J35" s="387"/>
      <c r="K35" s="387"/>
      <c r="L35" s="387"/>
      <c r="M35" s="387"/>
      <c r="N35" s="387"/>
      <c r="O35" s="387"/>
    </row>
    <row r="36" spans="1:16" s="1" customFormat="1" ht="16.5" customHeight="1" x14ac:dyDescent="0.25">
      <c r="A36" s="536" t="s">
        <v>116</v>
      </c>
      <c r="B36" s="306" t="s">
        <v>81</v>
      </c>
      <c r="C36" s="338">
        <f>C18/C12*C9</f>
        <v>266</v>
      </c>
      <c r="D36" s="339">
        <f>D18/D12*D9</f>
        <v>226.24</v>
      </c>
      <c r="E36" s="339">
        <f>E18/E12*E9</f>
        <v>179.76000000000002</v>
      </c>
      <c r="F36" s="339">
        <f>$F$18*F9/$F$12</f>
        <v>126.28</v>
      </c>
      <c r="G36" s="340">
        <f>$G$18*G9/$G$12</f>
        <v>66.5</v>
      </c>
      <c r="H36" s="341">
        <f>H18/H12*H9</f>
        <v>637</v>
      </c>
      <c r="I36" s="339">
        <f>I18/I12*I9</f>
        <v>619.5</v>
      </c>
      <c r="J36" s="339">
        <f>J18/J12*J9</f>
        <v>566.29999999999995</v>
      </c>
      <c r="K36" s="342">
        <f>K18/K12*K9</f>
        <v>548.79999999999995</v>
      </c>
      <c r="L36" s="342">
        <f>L18/L12*L9</f>
        <v>532</v>
      </c>
      <c r="M36" s="339"/>
      <c r="N36" s="344">
        <f>N18/N12*N9</f>
        <v>0</v>
      </c>
      <c r="O36" s="302">
        <f>O39/O12*O9</f>
        <v>0</v>
      </c>
      <c r="P36" s="375" t="s">
        <v>74</v>
      </c>
    </row>
    <row r="37" spans="1:16" s="1" customFormat="1" ht="16.5" customHeight="1" x14ac:dyDescent="0.25">
      <c r="A37" s="537"/>
      <c r="B37" s="307" t="s">
        <v>82</v>
      </c>
      <c r="C37" s="345">
        <f>C18/C12*C10</f>
        <v>190</v>
      </c>
      <c r="D37" s="346">
        <f>D18/D12*D10</f>
        <v>161.6</v>
      </c>
      <c r="E37" s="346">
        <f>$E$18*E10/$E$12</f>
        <v>128.4</v>
      </c>
      <c r="F37" s="346">
        <f>$F$18*F10/$F$12</f>
        <v>90.2</v>
      </c>
      <c r="G37" s="347">
        <f>$G$18*G10/$G$12</f>
        <v>47.5</v>
      </c>
      <c r="H37" s="348">
        <f>H18/H12*H10</f>
        <v>455</v>
      </c>
      <c r="I37" s="346">
        <f>I18/I12*I10</f>
        <v>442.5</v>
      </c>
      <c r="J37" s="346">
        <f>J18/J12*J10</f>
        <v>404.5</v>
      </c>
      <c r="K37" s="349">
        <f>K18/K12*K10</f>
        <v>392</v>
      </c>
      <c r="L37" s="349">
        <f>L18/L12*L10</f>
        <v>380</v>
      </c>
      <c r="M37" s="348">
        <f>M39/M12*M10</f>
        <v>0</v>
      </c>
      <c r="N37" s="351">
        <f>N39/N12*N10</f>
        <v>0</v>
      </c>
      <c r="O37" s="303">
        <f>O39/O12*O10</f>
        <v>0</v>
      </c>
      <c r="P37" s="375" t="s">
        <v>74</v>
      </c>
    </row>
    <row r="38" spans="1:16" s="1" customFormat="1" ht="16.5" customHeight="1" x14ac:dyDescent="0.25">
      <c r="A38" s="537"/>
      <c r="B38" s="308" t="s">
        <v>83</v>
      </c>
      <c r="C38" s="352">
        <f>C18/C12*C11</f>
        <v>228</v>
      </c>
      <c r="D38" s="353">
        <f>D18/D12*D11</f>
        <v>193.92000000000002</v>
      </c>
      <c r="E38" s="353">
        <f>$E$18*E11/$E$12</f>
        <v>154.07999999999998</v>
      </c>
      <c r="F38" s="353">
        <f>$F$18*F11/$F$12</f>
        <v>108.24000000000001</v>
      </c>
      <c r="G38" s="354">
        <f>$G$18*G11/$G$12</f>
        <v>57</v>
      </c>
      <c r="H38" s="355">
        <f>H18/H12*H11</f>
        <v>546</v>
      </c>
      <c r="I38" s="353">
        <f>I18/I12*I11</f>
        <v>531</v>
      </c>
      <c r="J38" s="353">
        <f>J18/J12*J11</f>
        <v>485.4</v>
      </c>
      <c r="K38" s="356">
        <f>K18/K12*K11</f>
        <v>470.4</v>
      </c>
      <c r="L38" s="356">
        <f>L18/L12*L11</f>
        <v>456</v>
      </c>
      <c r="M38" s="355">
        <f>M39/M12*M11</f>
        <v>0</v>
      </c>
      <c r="N38" s="358">
        <f>N39/N12*N11</f>
        <v>0</v>
      </c>
      <c r="O38" s="304">
        <f>O39/O12*O11</f>
        <v>0</v>
      </c>
      <c r="P38" s="375" t="s">
        <v>74</v>
      </c>
    </row>
    <row r="39" spans="1:16" s="1" customFormat="1" ht="16.5" customHeight="1" thickBot="1" x14ac:dyDescent="0.3">
      <c r="A39" s="537"/>
      <c r="B39" s="309" t="s">
        <v>84</v>
      </c>
      <c r="C39" s="359">
        <v>684</v>
      </c>
      <c r="D39" s="360">
        <v>581.76</v>
      </c>
      <c r="E39" s="360">
        <v>462.24</v>
      </c>
      <c r="F39" s="360">
        <v>324.72000000000003</v>
      </c>
      <c r="G39" s="361">
        <v>171</v>
      </c>
      <c r="H39" s="362">
        <v>1638</v>
      </c>
      <c r="I39" s="360">
        <v>1593</v>
      </c>
      <c r="J39" s="360">
        <v>1456.2</v>
      </c>
      <c r="K39" s="363">
        <v>1411.2</v>
      </c>
      <c r="L39" s="364">
        <v>1368</v>
      </c>
      <c r="M39" s="362"/>
      <c r="N39" s="365"/>
      <c r="O39" s="305"/>
      <c r="P39" s="375" t="s">
        <v>74</v>
      </c>
    </row>
    <row r="40" spans="1:16" s="1" customFormat="1" ht="15" hidden="1" customHeight="1" x14ac:dyDescent="0.25">
      <c r="A40" s="537"/>
      <c r="B40" s="57" t="s">
        <v>91</v>
      </c>
      <c r="C40" s="387" t="b">
        <f>C18=C39</f>
        <v>1</v>
      </c>
      <c r="D40" s="387" t="b">
        <f t="shared" ref="D40:N40" si="14">D39=D18</f>
        <v>1</v>
      </c>
      <c r="E40" s="387" t="b">
        <f t="shared" si="14"/>
        <v>1</v>
      </c>
      <c r="F40" s="387" t="b">
        <f t="shared" si="14"/>
        <v>1</v>
      </c>
      <c r="G40" s="387" t="b">
        <f t="shared" si="14"/>
        <v>1</v>
      </c>
      <c r="H40" s="387" t="b">
        <f t="shared" si="14"/>
        <v>1</v>
      </c>
      <c r="I40" s="387" t="b">
        <f t="shared" si="14"/>
        <v>1</v>
      </c>
      <c r="J40" s="387" t="b">
        <f t="shared" si="14"/>
        <v>1</v>
      </c>
      <c r="K40" s="387" t="b">
        <f t="shared" si="14"/>
        <v>1</v>
      </c>
      <c r="L40" s="387" t="b">
        <f t="shared" si="14"/>
        <v>1</v>
      </c>
      <c r="M40" s="387" t="b">
        <f t="shared" si="14"/>
        <v>1</v>
      </c>
      <c r="N40" s="135" t="b">
        <f t="shared" si="14"/>
        <v>1</v>
      </c>
      <c r="O40" s="371"/>
      <c r="P40" s="375" t="s">
        <v>74</v>
      </c>
    </row>
    <row r="41" spans="1:16" s="1" customFormat="1" ht="30" customHeight="1" thickBot="1" x14ac:dyDescent="0.3">
      <c r="A41" s="537"/>
      <c r="B41" s="378" t="s">
        <v>85</v>
      </c>
      <c r="C41" s="359">
        <f t="shared" ref="C41:L41" si="15">C39/9</f>
        <v>76</v>
      </c>
      <c r="D41" s="490">
        <f t="shared" si="15"/>
        <v>64.64</v>
      </c>
      <c r="E41" s="490">
        <v>52</v>
      </c>
      <c r="F41" s="490">
        <f t="shared" si="15"/>
        <v>36.080000000000005</v>
      </c>
      <c r="G41" s="361">
        <f t="shared" si="15"/>
        <v>19</v>
      </c>
      <c r="H41" s="362">
        <f t="shared" si="15"/>
        <v>182</v>
      </c>
      <c r="I41" s="360">
        <f t="shared" si="15"/>
        <v>177</v>
      </c>
      <c r="J41" s="360">
        <f t="shared" si="15"/>
        <v>161.80000000000001</v>
      </c>
      <c r="K41" s="363">
        <f t="shared" si="15"/>
        <v>156.80000000000001</v>
      </c>
      <c r="L41" s="364">
        <f t="shared" si="15"/>
        <v>152</v>
      </c>
      <c r="M41" s="362"/>
      <c r="N41" s="365"/>
      <c r="P41" s="375" t="s">
        <v>74</v>
      </c>
    </row>
    <row r="42" spans="1:16" s="1" customFormat="1" x14ac:dyDescent="0.25">
      <c r="A42" s="537"/>
      <c r="B42" s="435" t="s">
        <v>115</v>
      </c>
      <c r="C42" s="379">
        <v>0</v>
      </c>
      <c r="D42" s="380">
        <v>0</v>
      </c>
      <c r="E42" s="380">
        <v>0</v>
      </c>
      <c r="F42" s="380">
        <v>0</v>
      </c>
      <c r="G42" s="381">
        <v>0</v>
      </c>
      <c r="H42" s="382">
        <v>388.8</v>
      </c>
      <c r="I42" s="380">
        <v>324</v>
      </c>
      <c r="J42" s="380">
        <v>324</v>
      </c>
      <c r="K42" s="383">
        <v>259.2</v>
      </c>
      <c r="L42" s="384"/>
      <c r="M42" s="382"/>
      <c r="N42" s="385"/>
      <c r="P42" s="1" t="s">
        <v>75</v>
      </c>
    </row>
    <row r="43" spans="1:16" s="1" customFormat="1" ht="15.75" thickBot="1" x14ac:dyDescent="0.3">
      <c r="A43" s="538"/>
      <c r="B43" s="60" t="s">
        <v>86</v>
      </c>
      <c r="C43" s="440">
        <f t="shared" ref="C43:N43" si="16">C39+C42</f>
        <v>684</v>
      </c>
      <c r="D43" s="424">
        <f t="shared" si="16"/>
        <v>581.76</v>
      </c>
      <c r="E43" s="424">
        <f t="shared" si="16"/>
        <v>462.24</v>
      </c>
      <c r="F43" s="424">
        <f t="shared" si="16"/>
        <v>324.72000000000003</v>
      </c>
      <c r="G43" s="434">
        <f t="shared" si="16"/>
        <v>171</v>
      </c>
      <c r="H43" s="398">
        <f t="shared" si="16"/>
        <v>2026.8</v>
      </c>
      <c r="I43" s="424">
        <f t="shared" si="16"/>
        <v>1917</v>
      </c>
      <c r="J43" s="424">
        <f t="shared" si="16"/>
        <v>1780.2</v>
      </c>
      <c r="K43" s="424">
        <f t="shared" si="16"/>
        <v>1670.4</v>
      </c>
      <c r="L43" s="441">
        <f t="shared" si="16"/>
        <v>1368</v>
      </c>
      <c r="M43" s="424">
        <f t="shared" si="16"/>
        <v>0</v>
      </c>
      <c r="N43" s="442">
        <f t="shared" si="16"/>
        <v>0</v>
      </c>
      <c r="P43" s="375" t="s">
        <v>74</v>
      </c>
    </row>
    <row r="44" spans="1:16" s="1" customFormat="1" ht="15.75" thickBot="1" x14ac:dyDescent="0.3">
      <c r="A44" s="389"/>
      <c r="H44" s="368"/>
      <c r="J44" s="368"/>
      <c r="O44" s="360"/>
    </row>
    <row r="45" spans="1:16" s="1" customFormat="1" x14ac:dyDescent="0.25">
      <c r="A45" s="536" t="s">
        <v>80</v>
      </c>
      <c r="B45" s="467" t="s">
        <v>10</v>
      </c>
      <c r="C45" s="338">
        <f>C20/C12*C9</f>
        <v>266</v>
      </c>
      <c r="D45" s="339">
        <f>D20/D12*D9</f>
        <v>226.24</v>
      </c>
      <c r="E45" s="339">
        <f>E20/E12*E9</f>
        <v>179.76000000000002</v>
      </c>
      <c r="F45" s="339">
        <f>F20/F12*F9</f>
        <v>126.28000000000002</v>
      </c>
      <c r="G45" s="340">
        <f>$G$20*G12/$G$9</f>
        <v>439.71428571428572</v>
      </c>
      <c r="H45" s="341">
        <f t="shared" ref="H45:N45" si="17">H20/H12*H9</f>
        <v>847</v>
      </c>
      <c r="I45" s="339">
        <f t="shared" si="17"/>
        <v>794.5</v>
      </c>
      <c r="J45" s="339">
        <f t="shared" si="17"/>
        <v>741.3</v>
      </c>
      <c r="K45" s="339">
        <f t="shared" si="17"/>
        <v>688.8</v>
      </c>
      <c r="L45" s="343">
        <f t="shared" si="17"/>
        <v>532</v>
      </c>
      <c r="M45" s="339">
        <f t="shared" si="17"/>
        <v>638.55555555555554</v>
      </c>
      <c r="N45" s="344">
        <f t="shared" si="17"/>
        <v>532</v>
      </c>
      <c r="O45" s="391"/>
      <c r="P45" s="375" t="s">
        <v>74</v>
      </c>
    </row>
    <row r="46" spans="1:16" s="1" customFormat="1" x14ac:dyDescent="0.25">
      <c r="A46" s="537"/>
      <c r="B46" s="436" t="s">
        <v>11</v>
      </c>
      <c r="C46" s="345">
        <f>C20/C12*C10</f>
        <v>190</v>
      </c>
      <c r="D46" s="346">
        <f>D20/D12*D10</f>
        <v>161.6</v>
      </c>
      <c r="E46" s="346">
        <f>E20/E12*E10</f>
        <v>128.4</v>
      </c>
      <c r="F46" s="346">
        <f>F20/F12*F10</f>
        <v>90.200000000000017</v>
      </c>
      <c r="G46" s="347">
        <f>$G$20/$G$12*$G$10</f>
        <v>47.5</v>
      </c>
      <c r="H46" s="348">
        <f t="shared" ref="H46:N46" si="18">H20/H12*H10</f>
        <v>605</v>
      </c>
      <c r="I46" s="346">
        <f t="shared" si="18"/>
        <v>567.5</v>
      </c>
      <c r="J46" s="346">
        <f t="shared" si="18"/>
        <v>529.5</v>
      </c>
      <c r="K46" s="346">
        <f t="shared" si="18"/>
        <v>492</v>
      </c>
      <c r="L46" s="350">
        <f t="shared" si="18"/>
        <v>380</v>
      </c>
      <c r="M46" s="348">
        <f t="shared" si="18"/>
        <v>456.11111111111114</v>
      </c>
      <c r="N46" s="351">
        <f t="shared" si="18"/>
        <v>380</v>
      </c>
      <c r="P46" s="375" t="s">
        <v>74</v>
      </c>
    </row>
    <row r="47" spans="1:16" ht="15.75" thickBot="1" x14ac:dyDescent="0.3">
      <c r="A47" s="537"/>
      <c r="B47" s="437" t="s">
        <v>12</v>
      </c>
      <c r="C47" s="352">
        <f>C20/C12*C11</f>
        <v>228</v>
      </c>
      <c r="D47" s="353">
        <f>D20/D12*D11</f>
        <v>193.92000000000002</v>
      </c>
      <c r="E47" s="353">
        <f>E20/E12*E11</f>
        <v>154.08000000000001</v>
      </c>
      <c r="F47" s="353">
        <f>F20/F12*F11</f>
        <v>108.24000000000001</v>
      </c>
      <c r="G47" s="354">
        <f>$G$20*G11/$G$12</f>
        <v>57</v>
      </c>
      <c r="H47" s="355">
        <f t="shared" ref="H47:N47" si="19">H20/H12*H11</f>
        <v>726</v>
      </c>
      <c r="I47" s="353">
        <f t="shared" si="19"/>
        <v>681</v>
      </c>
      <c r="J47" s="353">
        <f t="shared" si="19"/>
        <v>635.4</v>
      </c>
      <c r="K47" s="353">
        <f t="shared" si="19"/>
        <v>590.4</v>
      </c>
      <c r="L47" s="357">
        <f t="shared" si="19"/>
        <v>456</v>
      </c>
      <c r="M47" s="355">
        <f t="shared" si="19"/>
        <v>547.33333333333337</v>
      </c>
      <c r="N47" s="358">
        <f t="shared" si="19"/>
        <v>456</v>
      </c>
      <c r="P47" s="375" t="s">
        <v>74</v>
      </c>
    </row>
    <row r="48" spans="1:16" s="1" customFormat="1" ht="16.5" customHeight="1" thickBot="1" x14ac:dyDescent="0.3">
      <c r="A48" s="537"/>
      <c r="B48" s="438" t="s">
        <v>84</v>
      </c>
      <c r="C48" s="359">
        <v>684</v>
      </c>
      <c r="D48" s="360">
        <v>581.76</v>
      </c>
      <c r="E48" s="360">
        <v>462.24</v>
      </c>
      <c r="F48" s="360">
        <v>324.72000000000003</v>
      </c>
      <c r="G48" s="361">
        <v>171</v>
      </c>
      <c r="H48" s="362">
        <v>2178</v>
      </c>
      <c r="I48" s="360">
        <v>2043</v>
      </c>
      <c r="J48" s="360">
        <v>1906.2</v>
      </c>
      <c r="K48" s="363">
        <v>1771.2</v>
      </c>
      <c r="L48" s="364">
        <v>1368</v>
      </c>
      <c r="M48" s="362"/>
      <c r="N48" s="365"/>
      <c r="O48" s="302" t="e">
        <f>O51/#REF!*O19</f>
        <v>#REF!</v>
      </c>
      <c r="P48" s="375" t="s">
        <v>74</v>
      </c>
    </row>
    <row r="49" spans="1:16" s="1" customFormat="1" ht="16.5" hidden="1" customHeight="1" x14ac:dyDescent="0.25">
      <c r="A49" s="537"/>
      <c r="B49" s="371"/>
      <c r="C49" s="371" t="b">
        <f t="shared" ref="C49:N49" si="20">C20=C48</f>
        <v>1</v>
      </c>
      <c r="D49" s="387" t="b">
        <f t="shared" si="20"/>
        <v>1</v>
      </c>
      <c r="E49" s="387" t="b">
        <f t="shared" si="20"/>
        <v>1</v>
      </c>
      <c r="F49" s="387" t="b">
        <f t="shared" si="20"/>
        <v>1</v>
      </c>
      <c r="G49" s="387" t="b">
        <f t="shared" si="20"/>
        <v>1</v>
      </c>
      <c r="H49" s="387" t="b">
        <f t="shared" si="20"/>
        <v>1</v>
      </c>
      <c r="I49" s="387" t="b">
        <f t="shared" si="20"/>
        <v>1</v>
      </c>
      <c r="J49" s="387" t="b">
        <f t="shared" si="20"/>
        <v>1</v>
      </c>
      <c r="K49" s="387" t="b">
        <f t="shared" si="20"/>
        <v>1</v>
      </c>
      <c r="L49" s="387" t="b">
        <f t="shared" si="20"/>
        <v>1</v>
      </c>
      <c r="M49" s="387" t="b">
        <f t="shared" si="20"/>
        <v>0</v>
      </c>
      <c r="N49" s="387" t="b">
        <f t="shared" si="20"/>
        <v>0</v>
      </c>
      <c r="O49" s="303" t="e">
        <f>O51/#REF!*O20</f>
        <v>#REF!</v>
      </c>
      <c r="P49" s="375"/>
    </row>
    <row r="50" spans="1:16" s="1" customFormat="1" ht="33" customHeight="1" thickBot="1" x14ac:dyDescent="0.3">
      <c r="A50" s="538"/>
      <c r="B50" s="439" t="s">
        <v>85</v>
      </c>
      <c r="C50" s="359">
        <f>C48/9</f>
        <v>76</v>
      </c>
      <c r="D50" s="490">
        <f t="shared" ref="D50:L50" si="21">D48/9</f>
        <v>64.64</v>
      </c>
      <c r="E50" s="490">
        <v>52</v>
      </c>
      <c r="F50" s="490">
        <f t="shared" si="21"/>
        <v>36.080000000000005</v>
      </c>
      <c r="G50" s="361">
        <f t="shared" si="21"/>
        <v>19</v>
      </c>
      <c r="H50" s="362">
        <f t="shared" si="21"/>
        <v>242</v>
      </c>
      <c r="I50" s="360">
        <f t="shared" si="21"/>
        <v>227</v>
      </c>
      <c r="J50" s="360">
        <f t="shared" si="21"/>
        <v>211.8</v>
      </c>
      <c r="K50" s="363">
        <f t="shared" si="21"/>
        <v>196.8</v>
      </c>
      <c r="L50" s="364">
        <f t="shared" si="21"/>
        <v>152</v>
      </c>
      <c r="M50" s="362"/>
      <c r="N50" s="365"/>
      <c r="O50" s="304" t="e">
        <f>O51/#REF!*O21</f>
        <v>#REF!</v>
      </c>
      <c r="P50" s="375" t="s">
        <v>74</v>
      </c>
    </row>
    <row r="51" spans="1:16" s="1" customFormat="1" ht="16.5" customHeight="1" thickBot="1" x14ac:dyDescent="0.3">
      <c r="A51" s="5"/>
      <c r="H51" s="368"/>
      <c r="J51" s="368"/>
      <c r="O51" s="305"/>
    </row>
    <row r="52" spans="1:16" x14ac:dyDescent="0.25">
      <c r="A52" s="1"/>
      <c r="B52" s="5" t="s">
        <v>69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6" s="1" customFormat="1" x14ac:dyDescent="0.25">
      <c r="B53" s="5" t="s">
        <v>54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6" s="1" customFormat="1" x14ac:dyDescent="0.25">
      <c r="B54" s="5" t="s">
        <v>55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6" s="1" customFormat="1" x14ac:dyDescent="0.25">
      <c r="B55" s="370" t="s">
        <v>56</v>
      </c>
      <c r="O55" s="5"/>
    </row>
    <row r="56" spans="1:16" s="1" customFormat="1" x14ac:dyDescent="0.25">
      <c r="A56" s="5"/>
      <c r="B56" s="193" t="s">
        <v>57</v>
      </c>
      <c r="C56" s="194">
        <v>2.0499999999999998</v>
      </c>
      <c r="D56" s="194">
        <v>2.1800000000000002</v>
      </c>
      <c r="E56" s="194">
        <v>2.31</v>
      </c>
      <c r="F56" s="194">
        <v>2.38</v>
      </c>
      <c r="G56" s="194">
        <v>2.57</v>
      </c>
      <c r="H56" s="194"/>
      <c r="I56" s="194">
        <v>4.29</v>
      </c>
      <c r="J56" s="194"/>
      <c r="K56" s="194">
        <v>4.68</v>
      </c>
      <c r="L56" s="194">
        <v>3.41</v>
      </c>
      <c r="M56" s="194"/>
      <c r="N56" s="194"/>
      <c r="O56" s="163"/>
    </row>
    <row r="57" spans="1:16" s="1" customFormat="1" x14ac:dyDescent="0.25">
      <c r="A57" s="5"/>
      <c r="B57" s="193" t="s">
        <v>59</v>
      </c>
      <c r="O57" s="194"/>
    </row>
    <row r="58" spans="1:16" s="1" customFormat="1" x14ac:dyDescent="0.25">
      <c r="A58" s="5"/>
      <c r="O58" s="194"/>
    </row>
    <row r="59" spans="1:16" s="1" customFormat="1" x14ac:dyDescent="0.25">
      <c r="A59" s="535" t="s">
        <v>123</v>
      </c>
      <c r="B59" s="535"/>
      <c r="C59" s="535"/>
      <c r="D59" s="535"/>
      <c r="E59" s="535"/>
      <c r="F59" s="535"/>
      <c r="G59" s="535"/>
      <c r="H59" s="535"/>
      <c r="I59" s="535"/>
      <c r="J59" s="535"/>
      <c r="K59" s="535"/>
      <c r="L59" s="535"/>
      <c r="O59" s="194"/>
    </row>
    <row r="60" spans="1:16" s="1" customFormat="1" ht="15.75" thickBot="1" x14ac:dyDescent="0.3">
      <c r="A60" s="5"/>
    </row>
    <row r="61" spans="1:16" x14ac:dyDescent="0.25">
      <c r="A61" s="471" t="s">
        <v>92</v>
      </c>
      <c r="B61" s="472"/>
      <c r="C61" s="472"/>
      <c r="D61" s="468"/>
      <c r="E61" s="468"/>
      <c r="F61" s="468"/>
      <c r="G61" s="468"/>
      <c r="H61" s="468"/>
      <c r="I61" s="468"/>
      <c r="J61" s="468"/>
      <c r="K61" s="468"/>
      <c r="L61" s="72"/>
      <c r="M61" s="372"/>
      <c r="N61" s="72"/>
    </row>
    <row r="62" spans="1:16" x14ac:dyDescent="0.25">
      <c r="A62" s="473"/>
      <c r="B62" s="474"/>
      <c r="C62" s="474" t="s">
        <v>93</v>
      </c>
      <c r="D62" s="174">
        <v>2.75</v>
      </c>
      <c r="E62" s="469"/>
      <c r="F62" s="469"/>
      <c r="G62" s="469"/>
      <c r="H62" s="469"/>
      <c r="I62" s="469"/>
      <c r="J62" s="469"/>
      <c r="K62" s="469"/>
      <c r="L62" s="135"/>
      <c r="M62" s="373"/>
      <c r="N62" s="135"/>
    </row>
    <row r="63" spans="1:16" x14ac:dyDescent="0.25">
      <c r="A63" s="473"/>
      <c r="B63" s="474"/>
      <c r="C63" s="474" t="s">
        <v>94</v>
      </c>
      <c r="D63" s="174">
        <v>3.3</v>
      </c>
      <c r="E63" s="510" t="s">
        <v>97</v>
      </c>
      <c r="F63" s="510"/>
      <c r="G63" s="510"/>
      <c r="H63" s="510"/>
      <c r="I63" s="510"/>
      <c r="J63" s="510"/>
      <c r="K63" s="469"/>
      <c r="L63" s="135"/>
      <c r="M63" s="373"/>
      <c r="N63" s="135"/>
    </row>
    <row r="64" spans="1:16" x14ac:dyDescent="0.25">
      <c r="A64" s="473"/>
      <c r="B64" s="474"/>
      <c r="C64" s="474"/>
      <c r="D64" s="469"/>
      <c r="E64" s="469"/>
      <c r="F64" s="469"/>
      <c r="G64" s="469"/>
      <c r="H64" s="469"/>
      <c r="I64" s="469"/>
      <c r="J64" s="469"/>
      <c r="K64" s="469"/>
      <c r="L64" s="135"/>
      <c r="M64" s="373"/>
      <c r="N64" s="135"/>
    </row>
    <row r="65" spans="1:14" x14ac:dyDescent="0.25">
      <c r="A65" s="473"/>
      <c r="B65" s="474"/>
      <c r="C65" s="474" t="s">
        <v>95</v>
      </c>
      <c r="D65" s="174">
        <v>5.9</v>
      </c>
      <c r="E65" s="469"/>
      <c r="F65" s="469"/>
      <c r="G65" s="469"/>
      <c r="H65" s="469"/>
      <c r="I65" s="469"/>
      <c r="J65" s="469"/>
      <c r="K65" s="469"/>
      <c r="L65" s="135"/>
      <c r="M65" s="373"/>
      <c r="N65" s="135"/>
    </row>
    <row r="66" spans="1:14" x14ac:dyDescent="0.25">
      <c r="A66" s="473"/>
      <c r="B66" s="474"/>
      <c r="C66" s="474" t="s">
        <v>96</v>
      </c>
      <c r="D66" s="174">
        <v>5.9</v>
      </c>
      <c r="E66" s="469"/>
      <c r="F66" s="469"/>
      <c r="G66" s="469"/>
      <c r="H66" s="469"/>
      <c r="I66" s="469"/>
      <c r="J66" s="469"/>
      <c r="K66" s="469"/>
      <c r="L66" s="135"/>
      <c r="M66" s="373"/>
      <c r="N66" s="135"/>
    </row>
    <row r="67" spans="1:14" ht="15.75" thickBot="1" x14ac:dyDescent="0.3">
      <c r="A67" s="475"/>
      <c r="B67" s="476"/>
      <c r="C67" s="476"/>
      <c r="D67" s="394"/>
      <c r="E67" s="394"/>
      <c r="F67" s="394"/>
      <c r="G67" s="394"/>
      <c r="H67" s="394"/>
      <c r="I67" s="394"/>
      <c r="J67" s="394"/>
      <c r="K67" s="394"/>
      <c r="L67" s="395"/>
      <c r="M67" s="394"/>
      <c r="N67" s="395"/>
    </row>
    <row r="69" spans="1:14" ht="15.75" thickBot="1" x14ac:dyDescent="0.3"/>
    <row r="70" spans="1:14" x14ac:dyDescent="0.25">
      <c r="A70" s="471" t="s">
        <v>98</v>
      </c>
      <c r="B70" s="472"/>
      <c r="C70" s="472"/>
      <c r="D70" s="468"/>
      <c r="E70" s="468"/>
      <c r="F70" s="468"/>
      <c r="G70" s="468"/>
      <c r="H70" s="468"/>
      <c r="I70" s="468"/>
      <c r="J70" s="468"/>
      <c r="K70" s="468"/>
      <c r="L70" s="72"/>
      <c r="M70" s="372"/>
      <c r="N70" s="72"/>
    </row>
    <row r="71" spans="1:14" x14ac:dyDescent="0.25">
      <c r="A71" s="473"/>
      <c r="B71" s="474"/>
      <c r="C71" s="474" t="s">
        <v>99</v>
      </c>
      <c r="D71" s="174">
        <v>8.75</v>
      </c>
      <c r="E71" s="469"/>
      <c r="F71" s="469"/>
      <c r="G71" s="469"/>
      <c r="H71" s="469"/>
      <c r="I71" s="469"/>
      <c r="J71" s="469"/>
      <c r="K71" s="469"/>
      <c r="L71" s="135"/>
      <c r="M71" s="373"/>
      <c r="N71" s="135"/>
    </row>
    <row r="72" spans="1:14" x14ac:dyDescent="0.25">
      <c r="A72" s="473"/>
      <c r="B72" s="474"/>
      <c r="C72" s="474" t="s">
        <v>100</v>
      </c>
      <c r="D72" s="174">
        <v>4.75</v>
      </c>
      <c r="E72" s="469"/>
      <c r="F72" s="469"/>
      <c r="G72" s="469"/>
      <c r="H72" s="469"/>
      <c r="I72" s="469"/>
      <c r="J72" s="469"/>
      <c r="K72" s="469"/>
      <c r="L72" s="135"/>
      <c r="M72" s="373"/>
      <c r="N72" s="135"/>
    </row>
    <row r="73" spans="1:14" x14ac:dyDescent="0.25">
      <c r="A73" s="473"/>
      <c r="B73" s="474"/>
      <c r="C73" s="474" t="s">
        <v>104</v>
      </c>
      <c r="D73" s="174">
        <v>12.5</v>
      </c>
      <c r="E73" s="469"/>
      <c r="F73" s="469"/>
      <c r="G73" s="469"/>
      <c r="H73" s="469"/>
      <c r="I73" s="469"/>
      <c r="J73" s="469"/>
      <c r="K73" s="469"/>
      <c r="L73" s="135"/>
      <c r="M73" s="373"/>
      <c r="N73" s="135"/>
    </row>
    <row r="74" spans="1:14" x14ac:dyDescent="0.25">
      <c r="A74" s="473"/>
      <c r="B74" s="474"/>
      <c r="C74" s="474" t="s">
        <v>105</v>
      </c>
      <c r="D74" s="174">
        <v>11.25</v>
      </c>
      <c r="E74" s="469"/>
      <c r="F74" s="469"/>
      <c r="G74" s="469"/>
      <c r="H74" s="469"/>
      <c r="I74" s="469"/>
      <c r="J74" s="469"/>
      <c r="K74" s="469"/>
      <c r="L74" s="135"/>
      <c r="M74" s="373"/>
      <c r="N74" s="135"/>
    </row>
    <row r="75" spans="1:14" x14ac:dyDescent="0.25">
      <c r="A75" s="473"/>
      <c r="B75" s="474"/>
      <c r="C75" s="474" t="s">
        <v>106</v>
      </c>
      <c r="D75" s="174">
        <v>2.5</v>
      </c>
      <c r="E75" s="469"/>
      <c r="F75" s="469"/>
      <c r="G75" s="469"/>
      <c r="H75" s="469"/>
      <c r="I75" s="469"/>
      <c r="J75" s="469"/>
      <c r="K75" s="469"/>
      <c r="L75" s="135"/>
      <c r="M75" s="373"/>
      <c r="N75" s="135"/>
    </row>
    <row r="76" spans="1:14" ht="15.75" thickBot="1" x14ac:dyDescent="0.3">
      <c r="A76" s="475"/>
      <c r="B76" s="476"/>
      <c r="C76" s="476"/>
      <c r="D76" s="394"/>
      <c r="E76" s="394"/>
      <c r="F76" s="394"/>
      <c r="G76" s="394"/>
      <c r="H76" s="394"/>
      <c r="I76" s="394"/>
      <c r="J76" s="394"/>
      <c r="K76" s="394"/>
      <c r="L76" s="395"/>
      <c r="M76" s="394"/>
      <c r="N76" s="395"/>
    </row>
    <row r="78" spans="1:14" ht="15.75" thickBot="1" x14ac:dyDescent="0.3"/>
    <row r="79" spans="1:14" ht="15.75" thickBot="1" x14ac:dyDescent="0.3">
      <c r="A79" s="484" t="s">
        <v>101</v>
      </c>
      <c r="B79" s="477"/>
      <c r="C79" s="477"/>
      <c r="D79" s="479">
        <v>35</v>
      </c>
      <c r="E79" s="478"/>
      <c r="F79" s="478"/>
      <c r="G79" s="478"/>
      <c r="H79" s="478"/>
      <c r="I79" s="478"/>
      <c r="J79" s="478"/>
      <c r="K79" s="478"/>
      <c r="L79" s="485"/>
    </row>
    <row r="81" spans="1:14" ht="15.75" thickBot="1" x14ac:dyDescent="0.3"/>
    <row r="82" spans="1:14" x14ac:dyDescent="0.25">
      <c r="A82" s="471" t="s">
        <v>102</v>
      </c>
      <c r="B82" s="472"/>
      <c r="C82" s="472"/>
      <c r="D82" s="480"/>
      <c r="E82" s="468"/>
      <c r="F82" s="468"/>
      <c r="G82" s="468"/>
      <c r="H82" s="468"/>
      <c r="I82" s="468"/>
      <c r="J82" s="468"/>
      <c r="K82" s="468"/>
      <c r="L82" s="72"/>
      <c r="M82" s="372"/>
      <c r="N82" s="72"/>
    </row>
    <row r="83" spans="1:14" x14ac:dyDescent="0.25">
      <c r="A83" s="473"/>
      <c r="B83" s="474"/>
      <c r="C83" s="474" t="s">
        <v>124</v>
      </c>
      <c r="D83" s="481">
        <v>4.75</v>
      </c>
      <c r="E83" s="469"/>
      <c r="F83" s="469"/>
      <c r="G83" s="469"/>
      <c r="H83" s="469"/>
      <c r="I83" s="469"/>
      <c r="J83" s="469"/>
      <c r="K83" s="469"/>
      <c r="L83" s="135"/>
      <c r="M83" s="373"/>
      <c r="N83" s="135"/>
    </row>
    <row r="84" spans="1:14" x14ac:dyDescent="0.25">
      <c r="A84" s="473"/>
      <c r="B84" s="474"/>
      <c r="C84" s="474" t="s">
        <v>125</v>
      </c>
      <c r="D84" s="481">
        <v>11</v>
      </c>
      <c r="E84" s="469"/>
      <c r="F84" s="469"/>
      <c r="G84" s="469"/>
      <c r="H84" s="469"/>
      <c r="I84" s="469"/>
      <c r="J84" s="469"/>
      <c r="K84" s="469"/>
      <c r="L84" s="135"/>
      <c r="M84" s="373"/>
      <c r="N84" s="135"/>
    </row>
    <row r="85" spans="1:14" x14ac:dyDescent="0.25">
      <c r="A85" s="473"/>
      <c r="B85" s="474"/>
      <c r="C85" s="474" t="s">
        <v>103</v>
      </c>
      <c r="D85" s="481">
        <v>2.5</v>
      </c>
      <c r="E85" s="469"/>
      <c r="F85" s="469"/>
      <c r="G85" s="469"/>
      <c r="H85" s="469"/>
      <c r="I85" s="469"/>
      <c r="J85" s="469"/>
      <c r="K85" s="469"/>
      <c r="L85" s="135"/>
      <c r="M85" s="373"/>
      <c r="N85" s="135"/>
    </row>
    <row r="86" spans="1:14" x14ac:dyDescent="0.25">
      <c r="A86" s="473"/>
      <c r="B86" s="474"/>
      <c r="C86" s="474"/>
      <c r="D86" s="482"/>
      <c r="E86" s="469"/>
      <c r="F86" s="469"/>
      <c r="G86" s="469"/>
      <c r="H86" s="469"/>
      <c r="I86" s="469"/>
      <c r="J86" s="469"/>
      <c r="K86" s="469"/>
      <c r="L86" s="135"/>
      <c r="M86" s="373"/>
      <c r="N86" s="135"/>
    </row>
    <row r="87" spans="1:14" x14ac:dyDescent="0.25">
      <c r="A87" s="473"/>
      <c r="B87" s="474"/>
      <c r="C87" s="474" t="s">
        <v>126</v>
      </c>
      <c r="D87" s="481">
        <v>23</v>
      </c>
      <c r="E87" s="469"/>
      <c r="F87" s="469"/>
      <c r="G87" s="469"/>
      <c r="H87" s="469"/>
      <c r="I87" s="469"/>
      <c r="J87" s="469"/>
      <c r="K87" s="469"/>
      <c r="L87" s="135"/>
      <c r="M87" s="373"/>
      <c r="N87" s="135"/>
    </row>
    <row r="88" spans="1:14" x14ac:dyDescent="0.25">
      <c r="A88" s="473"/>
      <c r="B88" s="474"/>
      <c r="C88" s="474"/>
      <c r="D88" s="481"/>
      <c r="E88" s="469"/>
      <c r="F88" s="469"/>
      <c r="G88" s="469"/>
      <c r="H88" s="469"/>
      <c r="I88" s="469"/>
      <c r="J88" s="469"/>
      <c r="K88" s="469"/>
      <c r="L88" s="135"/>
      <c r="M88" s="469"/>
      <c r="N88" s="135"/>
    </row>
    <row r="89" spans="1:14" x14ac:dyDescent="0.25">
      <c r="A89" s="473"/>
      <c r="B89" s="474"/>
      <c r="C89" s="474" t="s">
        <v>127</v>
      </c>
      <c r="D89" s="481">
        <v>1.75</v>
      </c>
      <c r="E89" s="469"/>
      <c r="F89" s="469"/>
      <c r="G89" s="469"/>
      <c r="H89" s="469"/>
      <c r="I89" s="469"/>
      <c r="J89" s="469"/>
      <c r="K89" s="469"/>
      <c r="L89" s="135"/>
      <c r="M89" s="469"/>
      <c r="N89" s="135"/>
    </row>
    <row r="90" spans="1:14" x14ac:dyDescent="0.25">
      <c r="A90" s="473"/>
      <c r="B90" s="474"/>
      <c r="C90" s="474" t="s">
        <v>128</v>
      </c>
      <c r="D90" s="481">
        <v>5</v>
      </c>
      <c r="E90" s="469"/>
      <c r="F90" s="469"/>
      <c r="G90" s="469"/>
      <c r="H90" s="469"/>
      <c r="I90" s="469"/>
      <c r="J90" s="469"/>
      <c r="K90" s="469"/>
      <c r="L90" s="135"/>
      <c r="M90" s="469"/>
      <c r="N90" s="135"/>
    </row>
    <row r="91" spans="1:14" x14ac:dyDescent="0.25">
      <c r="A91" s="473"/>
      <c r="B91" s="474"/>
      <c r="C91" s="474" t="s">
        <v>103</v>
      </c>
      <c r="D91" s="481">
        <v>2.5</v>
      </c>
      <c r="E91" s="469"/>
      <c r="F91" s="469"/>
      <c r="G91" s="469"/>
      <c r="H91" s="469"/>
      <c r="I91" s="469"/>
      <c r="J91" s="469"/>
      <c r="K91" s="469"/>
      <c r="L91" s="135"/>
      <c r="M91" s="469"/>
      <c r="N91" s="135"/>
    </row>
    <row r="92" spans="1:14" x14ac:dyDescent="0.25">
      <c r="A92" s="473"/>
      <c r="B92" s="474"/>
      <c r="C92" s="474"/>
      <c r="D92" s="481"/>
      <c r="E92" s="469"/>
      <c r="F92" s="469"/>
      <c r="G92" s="469"/>
      <c r="H92" s="469"/>
      <c r="I92" s="469"/>
      <c r="J92" s="469"/>
      <c r="K92" s="469"/>
      <c r="L92" s="135"/>
      <c r="M92" s="469"/>
      <c r="N92" s="135"/>
    </row>
    <row r="93" spans="1:14" x14ac:dyDescent="0.25">
      <c r="A93" s="473"/>
      <c r="B93" s="474"/>
      <c r="C93" s="474" t="s">
        <v>129</v>
      </c>
      <c r="D93" s="481">
        <f>1.75*2+5+2.5</f>
        <v>11</v>
      </c>
      <c r="E93" s="469"/>
      <c r="F93" s="469"/>
      <c r="G93" s="469"/>
      <c r="H93" s="469"/>
      <c r="I93" s="469"/>
      <c r="J93" s="469"/>
      <c r="K93" s="469"/>
      <c r="L93" s="135"/>
      <c r="M93" s="469"/>
      <c r="N93" s="135"/>
    </row>
    <row r="94" spans="1:14" ht="15.75" thickBot="1" x14ac:dyDescent="0.3">
      <c r="A94" s="475"/>
      <c r="B94" s="476"/>
      <c r="C94" s="476"/>
      <c r="D94" s="483"/>
      <c r="E94" s="394"/>
      <c r="F94" s="394"/>
      <c r="G94" s="394"/>
      <c r="H94" s="394"/>
      <c r="I94" s="394"/>
      <c r="J94" s="394"/>
      <c r="K94" s="394"/>
      <c r="L94" s="395"/>
      <c r="M94" s="394"/>
      <c r="N94" s="395"/>
    </row>
  </sheetData>
  <mergeCells count="16">
    <mergeCell ref="S22:T22"/>
    <mergeCell ref="A3:L3"/>
    <mergeCell ref="A59:L59"/>
    <mergeCell ref="E63:J63"/>
    <mergeCell ref="A45:A50"/>
    <mergeCell ref="A36:A43"/>
    <mergeCell ref="A24:A32"/>
    <mergeCell ref="B1:N1"/>
    <mergeCell ref="B7:B8"/>
    <mergeCell ref="K22:L22"/>
    <mergeCell ref="A20:A21"/>
    <mergeCell ref="A18:A19"/>
    <mergeCell ref="A6:A12"/>
    <mergeCell ref="E22:F22"/>
    <mergeCell ref="A13:A14"/>
    <mergeCell ref="A15:A16"/>
  </mergeCells>
  <pageMargins left="1.2204724409448819" right="0.39370078740157483" top="0.35433070866141736" bottom="0.35433070866141736" header="0.11811023622047245" footer="0.11811023622047245"/>
  <pageSetup paperSize="9" scale="74" orientation="landscape" r:id="rId1"/>
  <rowBreaks count="1" manualBreakCount="1">
    <brk id="50" max="16383" man="1"/>
  </rowBreaks>
  <colBreaks count="1" manualBreakCount="1">
    <brk id="15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4"/>
  <sheetViews>
    <sheetView tabSelected="1" topLeftCell="A2" zoomScaleNormal="100" workbookViewId="0">
      <pane xSplit="2" ySplit="7" topLeftCell="C9" activePane="bottomRight" state="frozen"/>
      <selection activeCell="A2" sqref="A2"/>
      <selection pane="topRight" activeCell="C2" sqref="C2"/>
      <selection pane="bottomLeft" activeCell="A9" sqref="A9"/>
      <selection pane="bottomRight" activeCell="H50" sqref="H50"/>
    </sheetView>
  </sheetViews>
  <sheetFormatPr baseColWidth="10" defaultRowHeight="15" x14ac:dyDescent="0.25"/>
  <cols>
    <col min="1" max="1" width="14.28515625" style="5" customWidth="1"/>
    <col min="2" max="2" width="28.140625" style="1" customWidth="1"/>
    <col min="3" max="13" width="10.7109375" style="1" customWidth="1"/>
    <col min="14" max="15" width="10.7109375" style="1" hidden="1" customWidth="1"/>
    <col min="16" max="16" width="0.85546875" style="1" hidden="1" customWidth="1"/>
    <col min="17" max="17" width="11.42578125" style="1"/>
    <col min="18" max="18" width="33.42578125" style="1" customWidth="1"/>
    <col min="19" max="27" width="11.42578125" style="1"/>
    <col min="28" max="16384" width="11.42578125" style="5"/>
  </cols>
  <sheetData>
    <row r="1" spans="1:17" x14ac:dyDescent="0.25">
      <c r="B1" s="507" t="s">
        <v>78</v>
      </c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291"/>
    </row>
    <row r="2" spans="1:17" hidden="1" x14ac:dyDescent="0.25">
      <c r="B2" s="56"/>
      <c r="C2" s="65"/>
      <c r="D2" s="65"/>
      <c r="E2" s="65"/>
      <c r="F2" s="65"/>
      <c r="G2" s="142"/>
      <c r="H2" s="134"/>
      <c r="I2" s="134"/>
      <c r="J2" s="134"/>
      <c r="K2" s="134"/>
      <c r="L2" s="486"/>
      <c r="M2" s="312"/>
      <c r="N2" s="134"/>
      <c r="O2" s="72"/>
      <c r="P2" s="72"/>
    </row>
    <row r="3" spans="1:17" x14ac:dyDescent="0.25">
      <c r="A3" s="520" t="s">
        <v>133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8"/>
      <c r="O3" s="135"/>
      <c r="P3" s="135"/>
    </row>
    <row r="4" spans="1:17" x14ac:dyDescent="0.25">
      <c r="B4" s="488"/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8"/>
      <c r="O4" s="135"/>
      <c r="P4" s="135"/>
    </row>
    <row r="5" spans="1:17" x14ac:dyDescent="0.25">
      <c r="B5" s="57" t="s">
        <v>77</v>
      </c>
      <c r="C5" s="7">
        <v>36</v>
      </c>
      <c r="D5" s="7">
        <v>36</v>
      </c>
      <c r="E5" s="7">
        <v>36</v>
      </c>
      <c r="F5" s="7">
        <v>36</v>
      </c>
      <c r="G5" s="144">
        <v>36</v>
      </c>
      <c r="H5" s="7">
        <v>36</v>
      </c>
      <c r="I5" s="7">
        <v>36</v>
      </c>
      <c r="J5" s="7">
        <v>36</v>
      </c>
      <c r="K5" s="7">
        <v>36</v>
      </c>
      <c r="L5" s="6">
        <v>36</v>
      </c>
      <c r="M5" s="313">
        <v>36</v>
      </c>
      <c r="N5" s="8">
        <v>36</v>
      </c>
      <c r="O5" s="58">
        <v>36</v>
      </c>
      <c r="P5" s="292">
        <v>36</v>
      </c>
    </row>
    <row r="6" spans="1:17" ht="15.75" thickBot="1" x14ac:dyDescent="0.3">
      <c r="A6" s="530" t="s">
        <v>79</v>
      </c>
      <c r="B6" s="57" t="s">
        <v>76</v>
      </c>
      <c r="C6" s="9">
        <f>C5*5</f>
        <v>180</v>
      </c>
      <c r="D6" s="9">
        <f>D5*4</f>
        <v>144</v>
      </c>
      <c r="E6" s="7">
        <f>E5*3</f>
        <v>108</v>
      </c>
      <c r="F6" s="9">
        <f>F5*2</f>
        <v>72</v>
      </c>
      <c r="G6" s="144">
        <f>G5*1</f>
        <v>36</v>
      </c>
      <c r="H6" s="7">
        <f>H5*7</f>
        <v>252</v>
      </c>
      <c r="I6" s="9">
        <f>I5*6</f>
        <v>216</v>
      </c>
      <c r="J6" s="9">
        <f>J5*5</f>
        <v>180</v>
      </c>
      <c r="K6" s="9">
        <f>K5*5</f>
        <v>180</v>
      </c>
      <c r="L6" s="9">
        <f>L5*5</f>
        <v>180</v>
      </c>
      <c r="M6" s="314">
        <f>M5*5</f>
        <v>180</v>
      </c>
      <c r="N6" s="8">
        <f>N5*6</f>
        <v>216</v>
      </c>
      <c r="O6" s="58">
        <v>180</v>
      </c>
      <c r="P6" s="292">
        <f>P5*5</f>
        <v>180</v>
      </c>
    </row>
    <row r="7" spans="1:17" ht="39" customHeight="1" thickBot="1" x14ac:dyDescent="0.3">
      <c r="A7" s="530"/>
      <c r="B7" s="523"/>
      <c r="C7" s="276" t="s">
        <v>3</v>
      </c>
      <c r="D7" s="274" t="s">
        <v>4</v>
      </c>
      <c r="E7" s="274" t="s">
        <v>5</v>
      </c>
      <c r="F7" s="274" t="s">
        <v>6</v>
      </c>
      <c r="G7" s="275" t="s">
        <v>7</v>
      </c>
      <c r="H7" s="367" t="s">
        <v>132</v>
      </c>
      <c r="I7" s="367" t="s">
        <v>70</v>
      </c>
      <c r="J7" s="367" t="s">
        <v>71</v>
      </c>
      <c r="K7" s="367" t="s">
        <v>72</v>
      </c>
      <c r="L7" s="367" t="s">
        <v>134</v>
      </c>
      <c r="M7" s="315" t="s">
        <v>64</v>
      </c>
      <c r="N7" s="278" t="s">
        <v>65</v>
      </c>
      <c r="O7" s="301" t="s">
        <v>66</v>
      </c>
      <c r="P7" s="279" t="s">
        <v>67</v>
      </c>
    </row>
    <row r="8" spans="1:17" s="1" customFormat="1" ht="16.5" customHeight="1" thickBot="1" x14ac:dyDescent="0.3">
      <c r="A8" s="530"/>
      <c r="B8" s="524"/>
      <c r="C8" s="281" t="s">
        <v>1</v>
      </c>
      <c r="D8" s="282" t="s">
        <v>1</v>
      </c>
      <c r="E8" s="282" t="s">
        <v>1</v>
      </c>
      <c r="F8" s="282" t="s">
        <v>1</v>
      </c>
      <c r="G8" s="283" t="s">
        <v>1</v>
      </c>
      <c r="H8" s="282" t="s">
        <v>1</v>
      </c>
      <c r="I8" s="282" t="s">
        <v>1</v>
      </c>
      <c r="J8" s="282" t="s">
        <v>1</v>
      </c>
      <c r="K8" s="282" t="s">
        <v>1</v>
      </c>
      <c r="L8" s="284" t="s">
        <v>1</v>
      </c>
      <c r="M8" s="316" t="s">
        <v>87</v>
      </c>
      <c r="N8" s="310" t="s">
        <v>1</v>
      </c>
      <c r="O8" s="285" t="s">
        <v>1</v>
      </c>
      <c r="P8" s="293" t="s">
        <v>1</v>
      </c>
    </row>
    <row r="9" spans="1:17" s="1" customFormat="1" ht="16.5" customHeight="1" thickBot="1" x14ac:dyDescent="0.3">
      <c r="A9" s="530"/>
      <c r="B9" s="270" t="s">
        <v>16</v>
      </c>
      <c r="C9" s="399">
        <f>14*5</f>
        <v>70</v>
      </c>
      <c r="D9" s="400">
        <f>14*4</f>
        <v>56</v>
      </c>
      <c r="E9" s="400">
        <f>14*3</f>
        <v>42</v>
      </c>
      <c r="F9" s="400">
        <f>14*2</f>
        <v>28</v>
      </c>
      <c r="G9" s="401">
        <f>14*1</f>
        <v>14</v>
      </c>
      <c r="H9" s="399">
        <f>14*7</f>
        <v>98</v>
      </c>
      <c r="I9" s="399">
        <f>14*6</f>
        <v>84</v>
      </c>
      <c r="J9" s="399">
        <f>C9</f>
        <v>70</v>
      </c>
      <c r="K9" s="399">
        <f>C9</f>
        <v>70</v>
      </c>
      <c r="L9" s="402">
        <f>C9</f>
        <v>70</v>
      </c>
      <c r="M9" s="403">
        <f>C9</f>
        <v>70</v>
      </c>
      <c r="N9" s="404">
        <f>H9</f>
        <v>98</v>
      </c>
      <c r="O9" s="405">
        <f t="shared" ref="O9:O12" si="0">J9</f>
        <v>70</v>
      </c>
      <c r="P9" s="294">
        <f>L9</f>
        <v>70</v>
      </c>
    </row>
    <row r="10" spans="1:17" s="1" customFormat="1" ht="16.5" customHeight="1" thickBot="1" x14ac:dyDescent="0.3">
      <c r="A10" s="530"/>
      <c r="B10" s="269" t="s">
        <v>130</v>
      </c>
      <c r="C10" s="406">
        <f>10*5</f>
        <v>50</v>
      </c>
      <c r="D10" s="407">
        <f>10*4</f>
        <v>40</v>
      </c>
      <c r="E10" s="407">
        <f>10*3</f>
        <v>30</v>
      </c>
      <c r="F10" s="407">
        <f>10*2</f>
        <v>20</v>
      </c>
      <c r="G10" s="408">
        <f>10*1</f>
        <v>10</v>
      </c>
      <c r="H10" s="406">
        <f>10*7</f>
        <v>70</v>
      </c>
      <c r="I10" s="406">
        <f>10*6</f>
        <v>60</v>
      </c>
      <c r="J10" s="406">
        <f>C10</f>
        <v>50</v>
      </c>
      <c r="K10" s="406">
        <f>C10</f>
        <v>50</v>
      </c>
      <c r="L10" s="409">
        <f>C10</f>
        <v>50</v>
      </c>
      <c r="M10" s="410">
        <f>C10</f>
        <v>50</v>
      </c>
      <c r="N10" s="406">
        <f>H10</f>
        <v>70</v>
      </c>
      <c r="O10" s="411">
        <f t="shared" si="0"/>
        <v>50</v>
      </c>
      <c r="P10" s="295">
        <f t="shared" ref="P10:P12" si="1">L10</f>
        <v>50</v>
      </c>
      <c r="Q10" s="1" t="s">
        <v>75</v>
      </c>
    </row>
    <row r="11" spans="1:17" s="1" customFormat="1" ht="16.5" customHeight="1" thickBot="1" x14ac:dyDescent="0.3">
      <c r="A11" s="530"/>
      <c r="B11" s="121" t="s">
        <v>131</v>
      </c>
      <c r="C11" s="412">
        <f>10*6</f>
        <v>60</v>
      </c>
      <c r="D11" s="413">
        <f>12*4</f>
        <v>48</v>
      </c>
      <c r="E11" s="413">
        <f>12*3</f>
        <v>36</v>
      </c>
      <c r="F11" s="413">
        <f>12*2</f>
        <v>24</v>
      </c>
      <c r="G11" s="414">
        <f>12*1</f>
        <v>12</v>
      </c>
      <c r="H11" s="412">
        <f>12*7</f>
        <v>84</v>
      </c>
      <c r="I11" s="412">
        <f>12*6</f>
        <v>72</v>
      </c>
      <c r="J11" s="412">
        <f>C11</f>
        <v>60</v>
      </c>
      <c r="K11" s="412">
        <f>C11</f>
        <v>60</v>
      </c>
      <c r="L11" s="415">
        <f>C11</f>
        <v>60</v>
      </c>
      <c r="M11" s="416">
        <f>C11</f>
        <v>60</v>
      </c>
      <c r="N11" s="417">
        <f>H11</f>
        <v>84</v>
      </c>
      <c r="O11" s="418">
        <f t="shared" si="0"/>
        <v>60</v>
      </c>
      <c r="P11" s="296">
        <f t="shared" si="1"/>
        <v>60</v>
      </c>
      <c r="Q11" s="1" t="s">
        <v>75</v>
      </c>
    </row>
    <row r="12" spans="1:17" s="1" customFormat="1" ht="16.5" customHeight="1" thickBot="1" x14ac:dyDescent="0.3">
      <c r="A12" s="530"/>
      <c r="B12" s="271" t="s">
        <v>76</v>
      </c>
      <c r="C12" s="267">
        <f t="shared" ref="C12:L12" si="2">SUM(C9:C11)</f>
        <v>180</v>
      </c>
      <c r="D12" s="102">
        <f t="shared" si="2"/>
        <v>144</v>
      </c>
      <c r="E12" s="102">
        <f t="shared" si="2"/>
        <v>108</v>
      </c>
      <c r="F12" s="102">
        <f t="shared" si="2"/>
        <v>72</v>
      </c>
      <c r="G12" s="151">
        <f t="shared" si="2"/>
        <v>36</v>
      </c>
      <c r="H12" s="419">
        <f>SUM(H9:H11)</f>
        <v>252</v>
      </c>
      <c r="I12" s="419">
        <f t="shared" si="2"/>
        <v>216</v>
      </c>
      <c r="J12" s="419">
        <f t="shared" si="2"/>
        <v>180</v>
      </c>
      <c r="K12" s="419">
        <f t="shared" si="2"/>
        <v>180</v>
      </c>
      <c r="L12" s="420">
        <f t="shared" si="2"/>
        <v>180</v>
      </c>
      <c r="M12" s="421">
        <f>SUM(M9:M11)</f>
        <v>180</v>
      </c>
      <c r="N12" s="422">
        <f>H12</f>
        <v>252</v>
      </c>
      <c r="O12" s="423">
        <f t="shared" si="0"/>
        <v>180</v>
      </c>
      <c r="P12" s="297">
        <f t="shared" si="1"/>
        <v>180</v>
      </c>
      <c r="Q12" s="375" t="s">
        <v>74</v>
      </c>
    </row>
    <row r="13" spans="1:17" s="1" customFormat="1" ht="24.75" customHeight="1" x14ac:dyDescent="0.25">
      <c r="A13" s="532" t="s">
        <v>111</v>
      </c>
      <c r="B13" s="429" t="s">
        <v>88</v>
      </c>
      <c r="C13" s="382">
        <f>C14*C12</f>
        <v>554.4</v>
      </c>
      <c r="D13" s="380">
        <f>D14*D12</f>
        <v>478.08000000000004</v>
      </c>
      <c r="E13" s="380">
        <f>E14*E12</f>
        <v>385.56000000000006</v>
      </c>
      <c r="F13" s="380">
        <f>F14*F12</f>
        <v>274.32000000000005</v>
      </c>
      <c r="G13" s="381">
        <f>G14*G12</f>
        <v>145.79999999999998</v>
      </c>
      <c r="H13" s="382">
        <v>1423.8</v>
      </c>
      <c r="I13" s="382">
        <v>1378.8</v>
      </c>
      <c r="J13" s="380">
        <v>1333.8</v>
      </c>
      <c r="K13" s="380">
        <v>1222.92</v>
      </c>
      <c r="L13" s="381">
        <v>1177.92</v>
      </c>
      <c r="M13" s="384">
        <v>1108.8</v>
      </c>
      <c r="N13" s="382"/>
      <c r="O13" s="385"/>
      <c r="P13" s="70"/>
      <c r="Q13" s="375"/>
    </row>
    <row r="14" spans="1:17" s="1" customFormat="1" ht="24.75" customHeight="1" thickBot="1" x14ac:dyDescent="0.3">
      <c r="A14" s="533"/>
      <c r="B14" s="430" t="s">
        <v>89</v>
      </c>
      <c r="C14" s="428">
        <f>C19-C15</f>
        <v>3.08</v>
      </c>
      <c r="D14" s="426">
        <f t="shared" ref="D14:G14" si="3">D19-D15</f>
        <v>3.3200000000000003</v>
      </c>
      <c r="E14" s="426">
        <f t="shared" si="3"/>
        <v>3.5700000000000003</v>
      </c>
      <c r="F14" s="426">
        <f t="shared" si="3"/>
        <v>3.8100000000000005</v>
      </c>
      <c r="G14" s="434">
        <f t="shared" si="3"/>
        <v>4.05</v>
      </c>
      <c r="H14" s="428">
        <f>H13/H12</f>
        <v>5.6499999999999995</v>
      </c>
      <c r="I14" s="426">
        <f t="shared" ref="I14:M14" si="4">I13/I12</f>
        <v>6.3833333333333329</v>
      </c>
      <c r="J14" s="426">
        <f t="shared" si="4"/>
        <v>7.41</v>
      </c>
      <c r="K14" s="426">
        <f t="shared" si="4"/>
        <v>6.7940000000000005</v>
      </c>
      <c r="L14" s="434">
        <f t="shared" si="4"/>
        <v>6.5440000000000005</v>
      </c>
      <c r="M14" s="441">
        <f>M13/M12</f>
        <v>6.16</v>
      </c>
      <c r="N14" s="428"/>
      <c r="O14" s="427"/>
      <c r="P14" s="70"/>
      <c r="Q14" s="375"/>
    </row>
    <row r="15" spans="1:17" s="1" customFormat="1" ht="24.75" hidden="1" customHeight="1" x14ac:dyDescent="0.25">
      <c r="A15" s="534" t="s">
        <v>114</v>
      </c>
      <c r="B15" s="431" t="s">
        <v>107</v>
      </c>
      <c r="C15" s="382">
        <v>0.8</v>
      </c>
      <c r="D15" s="380">
        <v>0.8</v>
      </c>
      <c r="E15" s="380">
        <v>0.8</v>
      </c>
      <c r="F15" s="380">
        <v>0.8</v>
      </c>
      <c r="G15" s="386">
        <v>0.8</v>
      </c>
      <c r="H15" s="380">
        <f>(144+144)/(180+180)</f>
        <v>0.8</v>
      </c>
      <c r="I15" s="380"/>
      <c r="J15" s="380">
        <f>(144+144)/(180+180)</f>
        <v>0.8</v>
      </c>
      <c r="K15" s="380">
        <f>(144+115.2)/(180+144)</f>
        <v>0.79999999999999993</v>
      </c>
      <c r="L15" s="386">
        <f>(144+115.2)/(180+144)</f>
        <v>0.79999999999999993</v>
      </c>
      <c r="M15" s="384"/>
      <c r="N15" s="382"/>
      <c r="O15" s="385"/>
      <c r="P15" s="70"/>
      <c r="Q15" s="375"/>
    </row>
    <row r="16" spans="1:17" s="1" customFormat="1" ht="24.75" hidden="1" customHeight="1" thickBot="1" x14ac:dyDescent="0.3">
      <c r="A16" s="533"/>
      <c r="B16" s="432" t="s">
        <v>112</v>
      </c>
      <c r="C16" s="362">
        <f>C15*C12</f>
        <v>144</v>
      </c>
      <c r="D16" s="360">
        <f>D15*D12</f>
        <v>115.2</v>
      </c>
      <c r="E16" s="360">
        <f>E15*E12</f>
        <v>86.4</v>
      </c>
      <c r="F16" s="360">
        <f>F15*F12</f>
        <v>57.6</v>
      </c>
      <c r="G16" s="434">
        <f>G15*G12</f>
        <v>28.8</v>
      </c>
      <c r="H16" s="360">
        <v>288</v>
      </c>
      <c r="I16" s="360"/>
      <c r="J16" s="360">
        <v>288</v>
      </c>
      <c r="K16" s="360">
        <v>259.2</v>
      </c>
      <c r="L16" s="434">
        <v>259.2</v>
      </c>
      <c r="M16" s="364"/>
      <c r="N16" s="362"/>
      <c r="O16" s="365"/>
      <c r="P16" s="70"/>
      <c r="Q16" s="375"/>
    </row>
    <row r="17" spans="1:25" s="1" customFormat="1" ht="24.75" hidden="1" customHeight="1" thickBot="1" x14ac:dyDescent="0.3">
      <c r="A17" s="425" t="s">
        <v>91</v>
      </c>
      <c r="B17" s="433" t="s">
        <v>113</v>
      </c>
      <c r="C17" s="377" t="b">
        <f t="shared" ref="C17:L17" si="5">C13+C16=C18</f>
        <v>1</v>
      </c>
      <c r="D17" s="376" t="b">
        <f t="shared" si="5"/>
        <v>1</v>
      </c>
      <c r="E17" s="376" t="b">
        <f t="shared" si="5"/>
        <v>1</v>
      </c>
      <c r="F17" s="376" t="b">
        <f t="shared" si="5"/>
        <v>1</v>
      </c>
      <c r="G17" s="386" t="b">
        <f t="shared" si="5"/>
        <v>1</v>
      </c>
      <c r="H17" s="376" t="b">
        <f t="shared" si="5"/>
        <v>1</v>
      </c>
      <c r="I17" s="376"/>
      <c r="J17" s="376" t="b">
        <f t="shared" si="5"/>
        <v>1</v>
      </c>
      <c r="K17" s="376" t="b">
        <f t="shared" si="5"/>
        <v>1</v>
      </c>
      <c r="L17" s="386" t="b">
        <f t="shared" si="5"/>
        <v>1</v>
      </c>
      <c r="M17" s="497"/>
      <c r="N17" s="377"/>
      <c r="O17" s="388"/>
      <c r="P17" s="70"/>
      <c r="Q17" s="375"/>
    </row>
    <row r="18" spans="1:25" s="1" customFormat="1" ht="24.75" customHeight="1" thickBot="1" x14ac:dyDescent="0.3">
      <c r="A18" s="528" t="s">
        <v>110</v>
      </c>
      <c r="B18" s="429" t="s">
        <v>88</v>
      </c>
      <c r="C18" s="382">
        <v>698.4</v>
      </c>
      <c r="D18" s="380">
        <v>593.28</v>
      </c>
      <c r="E18" s="380">
        <v>471.96</v>
      </c>
      <c r="F18" s="380">
        <v>331.92</v>
      </c>
      <c r="G18" s="381">
        <v>174.6</v>
      </c>
      <c r="H18" s="380">
        <v>1711.8</v>
      </c>
      <c r="I18" s="380">
        <v>1666.8</v>
      </c>
      <c r="J18" s="380">
        <v>1621.8</v>
      </c>
      <c r="K18" s="380">
        <v>1482.12</v>
      </c>
      <c r="L18" s="381">
        <v>1437.12</v>
      </c>
      <c r="M18" s="364">
        <v>1396.8</v>
      </c>
      <c r="N18" s="382"/>
      <c r="O18" s="385"/>
      <c r="P18" s="299"/>
      <c r="Q18" s="1" t="s">
        <v>75</v>
      </c>
    </row>
    <row r="19" spans="1:25" s="1" customFormat="1" ht="24.75" customHeight="1" thickBot="1" x14ac:dyDescent="0.3">
      <c r="A19" s="529"/>
      <c r="B19" s="432" t="s">
        <v>89</v>
      </c>
      <c r="C19" s="362">
        <f t="shared" ref="C19:K19" si="6">C18/C12</f>
        <v>3.88</v>
      </c>
      <c r="D19" s="360">
        <f t="shared" si="6"/>
        <v>4.12</v>
      </c>
      <c r="E19" s="360">
        <f t="shared" si="6"/>
        <v>4.37</v>
      </c>
      <c r="F19" s="360">
        <f t="shared" si="6"/>
        <v>4.6100000000000003</v>
      </c>
      <c r="G19" s="434">
        <f t="shared" si="6"/>
        <v>4.8499999999999996</v>
      </c>
      <c r="H19" s="360">
        <f t="shared" si="6"/>
        <v>6.7928571428571427</v>
      </c>
      <c r="I19" s="360">
        <f>I18/I12</f>
        <v>7.7166666666666668</v>
      </c>
      <c r="J19" s="360">
        <f>J18/J12</f>
        <v>9.01</v>
      </c>
      <c r="K19" s="360">
        <f t="shared" si="6"/>
        <v>8.234</v>
      </c>
      <c r="L19" s="434">
        <f>L18/L12</f>
        <v>7.9839999999999991</v>
      </c>
      <c r="M19" s="441">
        <f>M18/M12</f>
        <v>7.76</v>
      </c>
      <c r="N19" s="362"/>
      <c r="O19" s="365"/>
      <c r="P19" s="300">
        <f>P18/P12</f>
        <v>0</v>
      </c>
      <c r="Q19" s="375" t="s">
        <v>74</v>
      </c>
    </row>
    <row r="20" spans="1:25" s="1" customFormat="1" ht="24.75" customHeight="1" x14ac:dyDescent="0.25">
      <c r="A20" s="526" t="s">
        <v>90</v>
      </c>
      <c r="B20" s="429" t="s">
        <v>88</v>
      </c>
      <c r="C20" s="382">
        <f>C18</f>
        <v>698.4</v>
      </c>
      <c r="D20" s="382">
        <f>D18</f>
        <v>593.28</v>
      </c>
      <c r="E20" s="382">
        <f>E18</f>
        <v>471.96</v>
      </c>
      <c r="F20" s="382">
        <f>F18</f>
        <v>331.92</v>
      </c>
      <c r="G20" s="540">
        <f>G18</f>
        <v>174.6</v>
      </c>
      <c r="H20" s="541">
        <v>2341.8000000000002</v>
      </c>
      <c r="I20" s="380">
        <v>2206.8000000000002</v>
      </c>
      <c r="J20" s="380">
        <v>2071.8000000000002</v>
      </c>
      <c r="K20" s="380">
        <v>1932.12</v>
      </c>
      <c r="L20" s="381">
        <v>1797.12</v>
      </c>
      <c r="M20" s="384">
        <v>1396.8</v>
      </c>
      <c r="N20" s="382">
        <v>1642</v>
      </c>
      <c r="O20" s="385">
        <v>1368</v>
      </c>
      <c r="P20" s="70"/>
      <c r="Q20" s="1" t="s">
        <v>75</v>
      </c>
    </row>
    <row r="21" spans="1:25" s="1" customFormat="1" ht="24.75" customHeight="1" thickBot="1" x14ac:dyDescent="0.3">
      <c r="A21" s="527"/>
      <c r="B21" s="432" t="s">
        <v>89</v>
      </c>
      <c r="C21" s="362">
        <f t="shared" ref="C21:K21" si="7">C20/C12</f>
        <v>3.88</v>
      </c>
      <c r="D21" s="360">
        <f t="shared" si="7"/>
        <v>4.12</v>
      </c>
      <c r="E21" s="360">
        <f t="shared" si="7"/>
        <v>4.37</v>
      </c>
      <c r="F21" s="360">
        <f t="shared" si="7"/>
        <v>4.6100000000000003</v>
      </c>
      <c r="G21" s="434">
        <f t="shared" si="7"/>
        <v>4.8499999999999996</v>
      </c>
      <c r="H21" s="360">
        <f>H20/H12</f>
        <v>9.2928571428571427</v>
      </c>
      <c r="I21" s="360">
        <f>I20/I12</f>
        <v>10.216666666666667</v>
      </c>
      <c r="J21" s="360">
        <f>J20/J12</f>
        <v>11.510000000000002</v>
      </c>
      <c r="K21" s="360">
        <f t="shared" si="7"/>
        <v>10.734</v>
      </c>
      <c r="L21" s="434">
        <f>L20/L12</f>
        <v>9.984</v>
      </c>
      <c r="M21" s="441">
        <f>M20/M12</f>
        <v>7.76</v>
      </c>
      <c r="N21" s="362">
        <f>N20/N12</f>
        <v>6.5158730158730158</v>
      </c>
      <c r="O21" s="365"/>
      <c r="P21" s="70"/>
      <c r="Q21" s="375" t="s">
        <v>74</v>
      </c>
    </row>
    <row r="22" spans="1:25" s="1" customFormat="1" ht="16.5" customHeight="1" x14ac:dyDescent="0.25">
      <c r="A22" s="5"/>
      <c r="B22" s="1" t="s">
        <v>108</v>
      </c>
      <c r="C22" s="397" t="s">
        <v>109</v>
      </c>
      <c r="D22" s="374"/>
      <c r="E22" s="531" t="s">
        <v>119</v>
      </c>
      <c r="F22" s="531"/>
      <c r="G22" s="374"/>
      <c r="H22" s="470" t="s">
        <v>135</v>
      </c>
      <c r="I22" s="470"/>
      <c r="J22" s="470"/>
      <c r="K22" s="396"/>
      <c r="L22" s="525" t="s">
        <v>121</v>
      </c>
      <c r="M22" s="525"/>
      <c r="N22" s="396"/>
      <c r="O22" s="135"/>
      <c r="R22" s="397"/>
      <c r="S22" s="374"/>
      <c r="T22" s="521"/>
      <c r="U22" s="521"/>
      <c r="V22" s="397"/>
      <c r="W22" s="374"/>
      <c r="X22" s="488"/>
      <c r="Y22" s="396"/>
    </row>
    <row r="23" spans="1:25" ht="15.75" thickBot="1" x14ac:dyDescent="0.3">
      <c r="H23" s="368"/>
      <c r="I23" s="368"/>
      <c r="K23" s="368"/>
      <c r="T23" s="368"/>
    </row>
    <row r="24" spans="1:25" s="1" customFormat="1" ht="16.5" customHeight="1" x14ac:dyDescent="0.25">
      <c r="A24" s="536" t="s">
        <v>117</v>
      </c>
      <c r="B24" s="306" t="s">
        <v>81</v>
      </c>
      <c r="C24" s="338">
        <f t="shared" ref="C24:M24" si="8">C28/C12*C9</f>
        <v>215.6</v>
      </c>
      <c r="D24" s="339">
        <f t="shared" si="8"/>
        <v>185.92000000000002</v>
      </c>
      <c r="E24" s="339">
        <f t="shared" si="8"/>
        <v>149.94000000000003</v>
      </c>
      <c r="F24" s="339">
        <f t="shared" si="8"/>
        <v>106.68</v>
      </c>
      <c r="G24" s="340">
        <f t="shared" si="8"/>
        <v>56.699999999999996</v>
      </c>
      <c r="H24" s="339">
        <f>H28/H12*H9</f>
        <v>553.69999999999993</v>
      </c>
      <c r="I24" s="339">
        <f>I28/I12*I9</f>
        <v>536.19999999999993</v>
      </c>
      <c r="J24" s="339">
        <f t="shared" si="8"/>
        <v>518.70000000000005</v>
      </c>
      <c r="K24" s="339">
        <f t="shared" si="8"/>
        <v>475.58000000000004</v>
      </c>
      <c r="L24" s="342">
        <f>L28/L12*L9</f>
        <v>458.08000000000004</v>
      </c>
      <c r="M24" s="343">
        <f t="shared" si="8"/>
        <v>431.2</v>
      </c>
      <c r="N24" s="341"/>
      <c r="O24" s="344"/>
      <c r="P24" s="302" t="e">
        <f>P29/P6*#REF!</f>
        <v>#REF!</v>
      </c>
    </row>
    <row r="25" spans="1:25" s="1" customFormat="1" ht="16.5" customHeight="1" x14ac:dyDescent="0.25">
      <c r="A25" s="537"/>
      <c r="B25" s="461" t="s">
        <v>82</v>
      </c>
      <c r="C25" s="457">
        <f t="shared" ref="C25:M25" si="9">C28/C12*C10</f>
        <v>154</v>
      </c>
      <c r="D25" s="443">
        <f t="shared" si="9"/>
        <v>132.80000000000001</v>
      </c>
      <c r="E25" s="443">
        <f t="shared" si="9"/>
        <v>107.10000000000002</v>
      </c>
      <c r="F25" s="443">
        <f t="shared" si="9"/>
        <v>76.200000000000017</v>
      </c>
      <c r="G25" s="347">
        <f t="shared" si="9"/>
        <v>40.5</v>
      </c>
      <c r="H25" s="443">
        <f t="shared" si="9"/>
        <v>395.49999999999994</v>
      </c>
      <c r="I25" s="443">
        <f t="shared" si="9"/>
        <v>383</v>
      </c>
      <c r="J25" s="443">
        <f t="shared" si="9"/>
        <v>370.5</v>
      </c>
      <c r="K25" s="443">
        <f t="shared" si="9"/>
        <v>339.70000000000005</v>
      </c>
      <c r="L25" s="498">
        <f t="shared" si="9"/>
        <v>327.20000000000005</v>
      </c>
      <c r="M25" s="503">
        <f t="shared" si="9"/>
        <v>308</v>
      </c>
      <c r="N25" s="457"/>
      <c r="O25" s="444"/>
      <c r="P25" s="303">
        <f>P29/P6*P2</f>
        <v>0</v>
      </c>
    </row>
    <row r="26" spans="1:25" s="1" customFormat="1" ht="16.5" customHeight="1" x14ac:dyDescent="0.25">
      <c r="A26" s="537"/>
      <c r="B26" s="259" t="s">
        <v>83</v>
      </c>
      <c r="C26" s="458">
        <f t="shared" ref="C26:M26" si="10">C28/C12*C11</f>
        <v>184.8</v>
      </c>
      <c r="D26" s="445">
        <f t="shared" si="10"/>
        <v>159.36000000000001</v>
      </c>
      <c r="E26" s="445">
        <f t="shared" si="10"/>
        <v>128.52000000000004</v>
      </c>
      <c r="F26" s="445">
        <f t="shared" si="10"/>
        <v>91.440000000000012</v>
      </c>
      <c r="G26" s="354">
        <f t="shared" si="10"/>
        <v>48.599999999999994</v>
      </c>
      <c r="H26" s="445">
        <f t="shared" si="10"/>
        <v>474.59999999999997</v>
      </c>
      <c r="I26" s="445">
        <f t="shared" si="10"/>
        <v>459.59999999999997</v>
      </c>
      <c r="J26" s="445">
        <f t="shared" si="10"/>
        <v>444.6</v>
      </c>
      <c r="K26" s="445">
        <f t="shared" si="10"/>
        <v>407.64000000000004</v>
      </c>
      <c r="L26" s="499">
        <f t="shared" si="10"/>
        <v>392.64000000000004</v>
      </c>
      <c r="M26" s="504">
        <f t="shared" si="10"/>
        <v>369.6</v>
      </c>
      <c r="N26" s="458"/>
      <c r="O26" s="446"/>
      <c r="P26" s="304">
        <f>P29/P6*P5</f>
        <v>0</v>
      </c>
    </row>
    <row r="27" spans="1:25" s="1" customFormat="1" ht="16.5" hidden="1" customHeight="1" thickBot="1" x14ac:dyDescent="0.3">
      <c r="A27" s="537"/>
      <c r="B27" s="462"/>
      <c r="C27" s="448" t="b">
        <f t="shared" ref="C27:L27" si="11">SUM(C24:C26)=C28</f>
        <v>1</v>
      </c>
      <c r="D27" s="447" t="b">
        <f t="shared" si="11"/>
        <v>1</v>
      </c>
      <c r="E27" s="447" t="b">
        <f t="shared" si="11"/>
        <v>1</v>
      </c>
      <c r="F27" s="447" t="b">
        <f t="shared" si="11"/>
        <v>1</v>
      </c>
      <c r="G27" s="447" t="b">
        <f t="shared" si="11"/>
        <v>1</v>
      </c>
      <c r="H27" s="447" t="b">
        <f t="shared" si="11"/>
        <v>1</v>
      </c>
      <c r="I27" s="447"/>
      <c r="J27" s="447" t="b">
        <f t="shared" si="11"/>
        <v>1</v>
      </c>
      <c r="K27" s="447" t="b">
        <f t="shared" si="11"/>
        <v>1</v>
      </c>
      <c r="L27" s="500" t="b">
        <f t="shared" si="11"/>
        <v>1</v>
      </c>
      <c r="M27" s="364"/>
      <c r="N27" s="448"/>
      <c r="O27" s="449"/>
      <c r="P27" s="390"/>
    </row>
    <row r="28" spans="1:25" s="1" customFormat="1" ht="16.5" customHeight="1" thickBot="1" x14ac:dyDescent="0.3">
      <c r="A28" s="537"/>
      <c r="B28" s="463" t="s">
        <v>84</v>
      </c>
      <c r="C28" s="362">
        <f>C13</f>
        <v>554.4</v>
      </c>
      <c r="D28" s="362">
        <f>D13</f>
        <v>478.08000000000004</v>
      </c>
      <c r="E28" s="362">
        <f>E13</f>
        <v>385.56000000000006</v>
      </c>
      <c r="F28" s="362">
        <f>F13</f>
        <v>274.32000000000005</v>
      </c>
      <c r="G28" s="362">
        <f>G13</f>
        <v>145.79999999999998</v>
      </c>
      <c r="H28" s="494">
        <f>H13</f>
        <v>1423.8</v>
      </c>
      <c r="I28" s="362">
        <f>I13</f>
        <v>1378.8</v>
      </c>
      <c r="J28" s="362">
        <f>J13</f>
        <v>1333.8</v>
      </c>
      <c r="K28" s="362">
        <f>K13</f>
        <v>1222.92</v>
      </c>
      <c r="L28" s="362">
        <f>L13</f>
        <v>1177.92</v>
      </c>
      <c r="M28" s="364">
        <f>M13</f>
        <v>1108.8</v>
      </c>
      <c r="N28" s="362"/>
      <c r="O28" s="365"/>
      <c r="P28" s="390"/>
    </row>
    <row r="29" spans="1:25" s="1" customFormat="1" ht="31.5" customHeight="1" thickBot="1" x14ac:dyDescent="0.3">
      <c r="A29" s="537"/>
      <c r="B29" s="464" t="s">
        <v>85</v>
      </c>
      <c r="C29" s="539">
        <f>C28/9</f>
        <v>61.599999999999994</v>
      </c>
      <c r="D29" s="489">
        <f t="shared" ref="D29:M29" si="12">D28/9</f>
        <v>53.120000000000005</v>
      </c>
      <c r="E29" s="489">
        <f>E28/9</f>
        <v>42.84</v>
      </c>
      <c r="F29" s="489">
        <f t="shared" si="12"/>
        <v>30.480000000000004</v>
      </c>
      <c r="G29" s="491">
        <f t="shared" si="12"/>
        <v>16.2</v>
      </c>
      <c r="H29" s="543">
        <f>H28/9</f>
        <v>158.19999999999999</v>
      </c>
      <c r="I29" s="489">
        <f t="shared" si="12"/>
        <v>153.19999999999999</v>
      </c>
      <c r="J29" s="489">
        <f t="shared" si="12"/>
        <v>148.19999999999999</v>
      </c>
      <c r="K29" s="489">
        <f t="shared" si="12"/>
        <v>135.88</v>
      </c>
      <c r="L29" s="491">
        <f t="shared" si="12"/>
        <v>130.88</v>
      </c>
      <c r="M29" s="544">
        <f t="shared" si="12"/>
        <v>123.19999999999999</v>
      </c>
      <c r="N29" s="336"/>
      <c r="O29" s="337"/>
      <c r="P29" s="305"/>
    </row>
    <row r="30" spans="1:25" s="1" customFormat="1" ht="15" customHeight="1" x14ac:dyDescent="0.25">
      <c r="A30" s="537"/>
      <c r="B30" s="465" t="s">
        <v>115</v>
      </c>
      <c r="C30" s="459">
        <v>0</v>
      </c>
      <c r="D30" s="454">
        <v>0</v>
      </c>
      <c r="E30" s="454">
        <v>0</v>
      </c>
      <c r="F30" s="454">
        <v>0</v>
      </c>
      <c r="G30" s="492">
        <v>0</v>
      </c>
      <c r="H30" s="495">
        <f>H42</f>
        <v>453.6</v>
      </c>
      <c r="I30" s="454">
        <f>I42</f>
        <v>388.8</v>
      </c>
      <c r="J30" s="454">
        <f>J42</f>
        <v>324</v>
      </c>
      <c r="K30" s="454">
        <f>K42</f>
        <v>324</v>
      </c>
      <c r="L30" s="492">
        <f>L42</f>
        <v>259.2</v>
      </c>
      <c r="M30" s="384">
        <v>0</v>
      </c>
      <c r="N30" s="501"/>
      <c r="O30" s="456"/>
      <c r="P30" s="488"/>
    </row>
    <row r="31" spans="1:25" s="1" customFormat="1" ht="15" customHeight="1" x14ac:dyDescent="0.25">
      <c r="A31" s="537"/>
      <c r="B31" s="466" t="s">
        <v>118</v>
      </c>
      <c r="C31" s="460">
        <f>C16</f>
        <v>144</v>
      </c>
      <c r="D31" s="453">
        <f>D16</f>
        <v>115.2</v>
      </c>
      <c r="E31" s="453">
        <f>E16</f>
        <v>86.4</v>
      </c>
      <c r="F31" s="453">
        <f>F16</f>
        <v>57.6</v>
      </c>
      <c r="G31" s="493">
        <f>G16</f>
        <v>28.8</v>
      </c>
      <c r="H31" s="496">
        <v>288</v>
      </c>
      <c r="I31" s="460">
        <v>288</v>
      </c>
      <c r="J31" s="453">
        <v>288</v>
      </c>
      <c r="K31" s="453">
        <v>259.2</v>
      </c>
      <c r="L31" s="493">
        <v>259.2</v>
      </c>
      <c r="M31" s="505">
        <f>C31*2</f>
        <v>288</v>
      </c>
      <c r="N31" s="502"/>
      <c r="O31" s="393"/>
      <c r="P31" s="488"/>
    </row>
    <row r="32" spans="1:25" s="1" customFormat="1" ht="15" customHeight="1" thickBot="1" x14ac:dyDescent="0.3">
      <c r="A32" s="538"/>
      <c r="B32" s="463" t="s">
        <v>86</v>
      </c>
      <c r="C32" s="362">
        <f>C28+C30+C31</f>
        <v>698.4</v>
      </c>
      <c r="D32" s="360">
        <f t="shared" ref="C32:L32" si="13">D28+D30+D31</f>
        <v>593.28000000000009</v>
      </c>
      <c r="E32" s="360">
        <f t="shared" si="13"/>
        <v>471.96000000000004</v>
      </c>
      <c r="F32" s="360">
        <f t="shared" si="13"/>
        <v>331.92000000000007</v>
      </c>
      <c r="G32" s="363">
        <f t="shared" si="13"/>
        <v>174.6</v>
      </c>
      <c r="H32" s="494">
        <f t="shared" si="13"/>
        <v>2165.4</v>
      </c>
      <c r="I32" s="360">
        <f>I28+I30+I31</f>
        <v>2055.6</v>
      </c>
      <c r="J32" s="360">
        <f>J28+J30+J31</f>
        <v>1945.8</v>
      </c>
      <c r="K32" s="360">
        <f t="shared" si="13"/>
        <v>1806.1200000000001</v>
      </c>
      <c r="L32" s="363">
        <f t="shared" si="13"/>
        <v>1696.3200000000002</v>
      </c>
      <c r="M32" s="441">
        <v>1368</v>
      </c>
      <c r="N32" s="141"/>
      <c r="O32" s="109"/>
      <c r="P32" s="488"/>
    </row>
    <row r="33" spans="1:17" s="1" customFormat="1" ht="15" hidden="1" customHeight="1" x14ac:dyDescent="0.25">
      <c r="A33" s="450"/>
      <c r="B33" s="488"/>
      <c r="C33" s="451">
        <v>684</v>
      </c>
      <c r="D33" s="488">
        <v>581.76</v>
      </c>
      <c r="E33" s="488">
        <v>462.24</v>
      </c>
      <c r="F33" s="488">
        <v>324.72000000000003</v>
      </c>
      <c r="G33" s="488">
        <v>171</v>
      </c>
      <c r="H33" s="452">
        <v>2026.8</v>
      </c>
      <c r="I33" s="452"/>
      <c r="J33" s="452">
        <v>1917</v>
      </c>
      <c r="K33" s="452">
        <v>1780.2</v>
      </c>
      <c r="L33" s="452">
        <v>1670.4</v>
      </c>
      <c r="M33" s="488"/>
      <c r="N33" s="488"/>
      <c r="O33" s="488"/>
      <c r="P33" s="488"/>
    </row>
    <row r="34" spans="1:17" s="1" customFormat="1" ht="15" hidden="1" customHeight="1" x14ac:dyDescent="0.25">
      <c r="A34" s="450"/>
      <c r="B34" s="488"/>
      <c r="C34" s="488" t="b">
        <f t="shared" ref="C34:L34" si="14">C32=C33</f>
        <v>0</v>
      </c>
      <c r="D34" s="488" t="b">
        <f t="shared" si="14"/>
        <v>0</v>
      </c>
      <c r="E34" s="488" t="b">
        <f t="shared" si="14"/>
        <v>0</v>
      </c>
      <c r="F34" s="488" t="b">
        <f t="shared" si="14"/>
        <v>0</v>
      </c>
      <c r="G34" s="488" t="b">
        <f t="shared" si="14"/>
        <v>0</v>
      </c>
      <c r="H34" s="488" t="b">
        <f t="shared" si="14"/>
        <v>0</v>
      </c>
      <c r="I34" s="488"/>
      <c r="J34" s="488" t="b">
        <f t="shared" si="14"/>
        <v>0</v>
      </c>
      <c r="K34" s="488" t="b">
        <f t="shared" si="14"/>
        <v>0</v>
      </c>
      <c r="L34" s="488" t="b">
        <f t="shared" si="14"/>
        <v>0</v>
      </c>
      <c r="M34" s="488"/>
      <c r="N34" s="488"/>
      <c r="O34" s="488"/>
      <c r="P34" s="488"/>
    </row>
    <row r="35" spans="1:17" s="1" customFormat="1" ht="15" customHeight="1" thickBot="1" x14ac:dyDescent="0.3">
      <c r="A35" s="450"/>
      <c r="B35" s="488"/>
      <c r="C35" s="488"/>
      <c r="D35" s="488"/>
      <c r="E35" s="488"/>
      <c r="F35" s="488"/>
      <c r="G35" s="488"/>
      <c r="H35" s="488"/>
      <c r="I35" s="488"/>
      <c r="J35" s="488"/>
      <c r="K35" s="488"/>
      <c r="L35" s="488"/>
      <c r="M35" s="488"/>
      <c r="N35" s="488"/>
      <c r="O35" s="488"/>
      <c r="P35" s="488"/>
    </row>
    <row r="36" spans="1:17" s="1" customFormat="1" ht="16.5" customHeight="1" x14ac:dyDescent="0.25">
      <c r="A36" s="536" t="s">
        <v>116</v>
      </c>
      <c r="B36" s="306" t="s">
        <v>81</v>
      </c>
      <c r="C36" s="338">
        <f>C18/C12*C9</f>
        <v>271.59999999999997</v>
      </c>
      <c r="D36" s="339">
        <f>D18/D12*D9</f>
        <v>230.72</v>
      </c>
      <c r="E36" s="339">
        <f>E18/E12*E9</f>
        <v>183.54</v>
      </c>
      <c r="F36" s="339">
        <f>$F$18*F9/$F$12</f>
        <v>129.08000000000001</v>
      </c>
      <c r="G36" s="340">
        <f>$G$18*G9/$G$12</f>
        <v>67.900000000000006</v>
      </c>
      <c r="H36" s="341">
        <f t="shared" ref="H36:M36" si="15">H18/H12*H9</f>
        <v>665.69999999999993</v>
      </c>
      <c r="I36" s="339">
        <f t="shared" si="15"/>
        <v>648.20000000000005</v>
      </c>
      <c r="J36" s="339">
        <f t="shared" si="15"/>
        <v>630.69999999999993</v>
      </c>
      <c r="K36" s="339">
        <f t="shared" si="15"/>
        <v>576.38</v>
      </c>
      <c r="L36" s="342">
        <f t="shared" si="15"/>
        <v>558.87999999999988</v>
      </c>
      <c r="M36" s="343">
        <f t="shared" si="15"/>
        <v>543.19999999999993</v>
      </c>
      <c r="N36" s="341"/>
      <c r="O36" s="344">
        <f>O18/O12*O9</f>
        <v>0</v>
      </c>
      <c r="P36" s="302">
        <f>P39/P12*P9</f>
        <v>0</v>
      </c>
      <c r="Q36" s="375" t="s">
        <v>74</v>
      </c>
    </row>
    <row r="37" spans="1:17" s="1" customFormat="1" ht="16.5" customHeight="1" x14ac:dyDescent="0.25">
      <c r="A37" s="537"/>
      <c r="B37" s="307" t="s">
        <v>82</v>
      </c>
      <c r="C37" s="345">
        <f>C18/C12*C10</f>
        <v>194</v>
      </c>
      <c r="D37" s="346">
        <f>D18/D12*D10</f>
        <v>164.8</v>
      </c>
      <c r="E37" s="346">
        <f>$E$18*E10/$E$12</f>
        <v>131.1</v>
      </c>
      <c r="F37" s="346">
        <f>$F$18*F10/$F$12</f>
        <v>92.2</v>
      </c>
      <c r="G37" s="347">
        <f>$G$18*G10/$G$12</f>
        <v>48.5</v>
      </c>
      <c r="H37" s="348">
        <f t="shared" ref="H37:M37" si="16">H18/H12*H10</f>
        <v>475.5</v>
      </c>
      <c r="I37" s="346">
        <f t="shared" si="16"/>
        <v>463</v>
      </c>
      <c r="J37" s="346">
        <f t="shared" si="16"/>
        <v>450.5</v>
      </c>
      <c r="K37" s="346">
        <f t="shared" si="16"/>
        <v>411.7</v>
      </c>
      <c r="L37" s="349">
        <f t="shared" si="16"/>
        <v>399.19999999999993</v>
      </c>
      <c r="M37" s="350">
        <f t="shared" si="16"/>
        <v>388</v>
      </c>
      <c r="N37" s="348">
        <f>N39/N12*N10</f>
        <v>0</v>
      </c>
      <c r="O37" s="351">
        <f>O39/O12*O10</f>
        <v>0</v>
      </c>
      <c r="P37" s="303">
        <f>P39/P12*P10</f>
        <v>0</v>
      </c>
      <c r="Q37" s="375" t="s">
        <v>74</v>
      </c>
    </row>
    <row r="38" spans="1:17" s="1" customFormat="1" ht="16.5" customHeight="1" x14ac:dyDescent="0.25">
      <c r="A38" s="537"/>
      <c r="B38" s="308" t="s">
        <v>83</v>
      </c>
      <c r="C38" s="352">
        <f>C18/C12*C11</f>
        <v>232.79999999999998</v>
      </c>
      <c r="D38" s="353">
        <f>D18/D12*D11</f>
        <v>197.76</v>
      </c>
      <c r="E38" s="353">
        <f>$E$18*E11/$E$12</f>
        <v>157.31999999999996</v>
      </c>
      <c r="F38" s="353">
        <f>$F$18*F11/$F$12</f>
        <v>110.64</v>
      </c>
      <c r="G38" s="354">
        <f>$G$18*G11/$G$12</f>
        <v>58.199999999999996</v>
      </c>
      <c r="H38" s="355">
        <f t="shared" ref="H38:M38" si="17">H18/H12*H11</f>
        <v>570.6</v>
      </c>
      <c r="I38" s="353">
        <f t="shared" si="17"/>
        <v>555.6</v>
      </c>
      <c r="J38" s="353">
        <f t="shared" si="17"/>
        <v>540.6</v>
      </c>
      <c r="K38" s="353">
        <f t="shared" si="17"/>
        <v>494.04</v>
      </c>
      <c r="L38" s="356">
        <f t="shared" si="17"/>
        <v>479.03999999999996</v>
      </c>
      <c r="M38" s="357">
        <f t="shared" si="17"/>
        <v>465.59999999999997</v>
      </c>
      <c r="N38" s="355">
        <f>N39/N12*N11</f>
        <v>0</v>
      </c>
      <c r="O38" s="358">
        <f>O39/O12*O11</f>
        <v>0</v>
      </c>
      <c r="P38" s="304">
        <f>P39/P12*P11</f>
        <v>0</v>
      </c>
      <c r="Q38" s="375" t="s">
        <v>74</v>
      </c>
    </row>
    <row r="39" spans="1:17" s="1" customFormat="1" ht="16.5" customHeight="1" thickBot="1" x14ac:dyDescent="0.3">
      <c r="A39" s="537"/>
      <c r="B39" s="309" t="s">
        <v>84</v>
      </c>
      <c r="C39" s="359">
        <f>SUM(C36:C38)</f>
        <v>698.4</v>
      </c>
      <c r="D39" s="360">
        <f>SUM(D36:D38)</f>
        <v>593.28</v>
      </c>
      <c r="E39" s="360">
        <f>SUM(E36:E38)</f>
        <v>471.95999999999992</v>
      </c>
      <c r="F39" s="360">
        <f>SUM(F36:F38)</f>
        <v>331.92</v>
      </c>
      <c r="G39" s="361">
        <f>SUM(G36:G38)</f>
        <v>174.6</v>
      </c>
      <c r="H39" s="362">
        <f>+H18</f>
        <v>1711.8</v>
      </c>
      <c r="I39" s="363">
        <f>+I18</f>
        <v>1666.8</v>
      </c>
      <c r="J39" s="363">
        <f>+J18</f>
        <v>1621.8</v>
      </c>
      <c r="K39" s="363">
        <f>+K18</f>
        <v>1482.12</v>
      </c>
      <c r="L39" s="363">
        <f>+L18</f>
        <v>1437.12</v>
      </c>
      <c r="M39" s="364">
        <f>+M18</f>
        <v>1396.8</v>
      </c>
      <c r="N39" s="362"/>
      <c r="O39" s="365"/>
      <c r="P39" s="305"/>
      <c r="Q39" s="375" t="s">
        <v>74</v>
      </c>
    </row>
    <row r="40" spans="1:17" s="1" customFormat="1" ht="15" hidden="1" customHeight="1" x14ac:dyDescent="0.25">
      <c r="A40" s="537"/>
      <c r="B40" s="57" t="s">
        <v>91</v>
      </c>
      <c r="C40" s="488" t="b">
        <f>C18=C39</f>
        <v>1</v>
      </c>
      <c r="D40" s="488" t="b">
        <f t="shared" ref="D40:O40" si="18">D39=D18</f>
        <v>1</v>
      </c>
      <c r="E40" s="488" t="b">
        <f t="shared" si="18"/>
        <v>1</v>
      </c>
      <c r="F40" s="488" t="b">
        <f t="shared" si="18"/>
        <v>1</v>
      </c>
      <c r="G40" s="488" t="b">
        <f t="shared" si="18"/>
        <v>1</v>
      </c>
      <c r="H40" s="488" t="b">
        <f t="shared" si="18"/>
        <v>1</v>
      </c>
      <c r="I40" s="488"/>
      <c r="J40" s="488" t="b">
        <f t="shared" si="18"/>
        <v>1</v>
      </c>
      <c r="K40" s="488" t="b">
        <f t="shared" si="18"/>
        <v>1</v>
      </c>
      <c r="L40" s="488" t="b">
        <f t="shared" si="18"/>
        <v>1</v>
      </c>
      <c r="M40" s="313" t="b">
        <f t="shared" si="18"/>
        <v>1</v>
      </c>
      <c r="N40" s="488" t="b">
        <f t="shared" si="18"/>
        <v>1</v>
      </c>
      <c r="O40" s="135" t="b">
        <f t="shared" si="18"/>
        <v>1</v>
      </c>
      <c r="P40" s="488"/>
      <c r="Q40" s="375" t="s">
        <v>74</v>
      </c>
    </row>
    <row r="41" spans="1:17" s="1" customFormat="1" ht="30" customHeight="1" thickBot="1" x14ac:dyDescent="0.3">
      <c r="A41" s="537"/>
      <c r="B41" s="378" t="s">
        <v>85</v>
      </c>
      <c r="C41" s="542">
        <f t="shared" ref="C41:M41" si="19">C39/9</f>
        <v>77.599999999999994</v>
      </c>
      <c r="D41" s="490">
        <f t="shared" si="19"/>
        <v>65.92</v>
      </c>
      <c r="E41" s="490">
        <v>52</v>
      </c>
      <c r="F41" s="490">
        <f t="shared" si="19"/>
        <v>36.880000000000003</v>
      </c>
      <c r="G41" s="545">
        <f t="shared" si="19"/>
        <v>19.399999999999999</v>
      </c>
      <c r="H41" s="546">
        <f t="shared" si="19"/>
        <v>190.2</v>
      </c>
      <c r="I41" s="490">
        <f t="shared" si="19"/>
        <v>185.2</v>
      </c>
      <c r="J41" s="490">
        <f t="shared" si="19"/>
        <v>180.2</v>
      </c>
      <c r="K41" s="490">
        <f t="shared" si="19"/>
        <v>164.67999999999998</v>
      </c>
      <c r="L41" s="547">
        <f t="shared" si="19"/>
        <v>159.67999999999998</v>
      </c>
      <c r="M41" s="548">
        <f t="shared" si="19"/>
        <v>155.19999999999999</v>
      </c>
      <c r="N41" s="362"/>
      <c r="O41" s="365"/>
      <c r="Q41" s="375" t="s">
        <v>74</v>
      </c>
    </row>
    <row r="42" spans="1:17" s="1" customFormat="1" x14ac:dyDescent="0.25">
      <c r="A42" s="537"/>
      <c r="B42" s="435" t="s">
        <v>115</v>
      </c>
      <c r="C42" s="379">
        <v>0</v>
      </c>
      <c r="D42" s="380">
        <v>0</v>
      </c>
      <c r="E42" s="380">
        <v>0</v>
      </c>
      <c r="F42" s="380">
        <v>0</v>
      </c>
      <c r="G42" s="381">
        <v>0</v>
      </c>
      <c r="H42" s="382">
        <v>453.6</v>
      </c>
      <c r="I42" s="382">
        <v>388.8</v>
      </c>
      <c r="J42" s="380">
        <v>324</v>
      </c>
      <c r="K42" s="380">
        <v>324</v>
      </c>
      <c r="L42" s="383">
        <v>259.2</v>
      </c>
      <c r="M42" s="384"/>
      <c r="N42" s="382"/>
      <c r="O42" s="385"/>
      <c r="Q42" s="1" t="s">
        <v>75</v>
      </c>
    </row>
    <row r="43" spans="1:17" s="1" customFormat="1" ht="15.75" thickBot="1" x14ac:dyDescent="0.3">
      <c r="A43" s="538"/>
      <c r="B43" s="60" t="s">
        <v>86</v>
      </c>
      <c r="C43" s="440">
        <f t="shared" ref="C43:O43" si="20">C39+C42</f>
        <v>698.4</v>
      </c>
      <c r="D43" s="424">
        <f t="shared" si="20"/>
        <v>593.28</v>
      </c>
      <c r="E43" s="424">
        <f t="shared" si="20"/>
        <v>471.95999999999992</v>
      </c>
      <c r="F43" s="424">
        <f t="shared" si="20"/>
        <v>331.92</v>
      </c>
      <c r="G43" s="434">
        <f t="shared" si="20"/>
        <v>174.6</v>
      </c>
      <c r="H43" s="398">
        <f>H39+H42</f>
        <v>2165.4</v>
      </c>
      <c r="I43" s="424">
        <f>I39+I42</f>
        <v>2055.6</v>
      </c>
      <c r="J43" s="424">
        <f t="shared" si="20"/>
        <v>1945.8</v>
      </c>
      <c r="K43" s="424">
        <f t="shared" si="20"/>
        <v>1806.12</v>
      </c>
      <c r="L43" s="506">
        <f t="shared" si="20"/>
        <v>1696.32</v>
      </c>
      <c r="M43" s="441">
        <f t="shared" si="20"/>
        <v>1396.8</v>
      </c>
      <c r="N43" s="398">
        <f t="shared" si="20"/>
        <v>0</v>
      </c>
      <c r="O43" s="442">
        <f t="shared" si="20"/>
        <v>0</v>
      </c>
      <c r="Q43" s="375" t="s">
        <v>74</v>
      </c>
    </row>
    <row r="44" spans="1:17" s="1" customFormat="1" ht="15.75" thickBot="1" x14ac:dyDescent="0.3">
      <c r="A44" s="389"/>
      <c r="H44" s="368"/>
      <c r="I44" s="368"/>
      <c r="K44" s="368"/>
      <c r="P44" s="360"/>
    </row>
    <row r="45" spans="1:17" s="1" customFormat="1" x14ac:dyDescent="0.25">
      <c r="A45" s="536" t="s">
        <v>80</v>
      </c>
      <c r="B45" s="467" t="s">
        <v>10</v>
      </c>
      <c r="C45" s="338">
        <f>C20/C12*C9</f>
        <v>271.59999999999997</v>
      </c>
      <c r="D45" s="339">
        <f>D20/D12*D9</f>
        <v>230.72</v>
      </c>
      <c r="E45" s="339">
        <f>E20/E12*E9</f>
        <v>183.54</v>
      </c>
      <c r="F45" s="339">
        <f>F20/F12*F9</f>
        <v>129.08000000000001</v>
      </c>
      <c r="G45" s="339">
        <f>G20/G12*G9</f>
        <v>67.899999999999991</v>
      </c>
      <c r="H45" s="341">
        <f t="shared" ref="H45:O45" si="21">H20/H12*H9</f>
        <v>910.69999999999993</v>
      </c>
      <c r="I45" s="339">
        <f t="shared" si="21"/>
        <v>858.2</v>
      </c>
      <c r="J45" s="339">
        <f t="shared" si="21"/>
        <v>805.70000000000016</v>
      </c>
      <c r="K45" s="339">
        <f t="shared" si="21"/>
        <v>751.38</v>
      </c>
      <c r="L45" s="339">
        <f t="shared" si="21"/>
        <v>698.88</v>
      </c>
      <c r="M45" s="343">
        <f t="shared" si="21"/>
        <v>543.19999999999993</v>
      </c>
      <c r="N45" s="339">
        <f t="shared" si="21"/>
        <v>638.55555555555554</v>
      </c>
      <c r="O45" s="344">
        <f t="shared" si="21"/>
        <v>532</v>
      </c>
      <c r="P45" s="391"/>
      <c r="Q45" s="375" t="s">
        <v>74</v>
      </c>
    </row>
    <row r="46" spans="1:17" s="1" customFormat="1" x14ac:dyDescent="0.25">
      <c r="A46" s="537"/>
      <c r="B46" s="436" t="s">
        <v>11</v>
      </c>
      <c r="C46" s="345">
        <f>C20/C12*C10</f>
        <v>194</v>
      </c>
      <c r="D46" s="346">
        <f>D20/D12*D10</f>
        <v>164.8</v>
      </c>
      <c r="E46" s="346">
        <f>E20/E12*E10</f>
        <v>131.1</v>
      </c>
      <c r="F46" s="346">
        <f>F20/F12*F10</f>
        <v>92.2</v>
      </c>
      <c r="G46" s="347">
        <f>$G$20/$G$12*$G$10</f>
        <v>48.5</v>
      </c>
      <c r="H46" s="348">
        <f t="shared" ref="H46:O46" si="22">H20/H12*H10</f>
        <v>650.5</v>
      </c>
      <c r="I46" s="346">
        <f t="shared" si="22"/>
        <v>613</v>
      </c>
      <c r="J46" s="346">
        <f t="shared" si="22"/>
        <v>575.50000000000011</v>
      </c>
      <c r="K46" s="346">
        <f t="shared" si="22"/>
        <v>536.70000000000005</v>
      </c>
      <c r="L46" s="346">
        <f t="shared" si="22"/>
        <v>499.2</v>
      </c>
      <c r="M46" s="350">
        <f t="shared" si="22"/>
        <v>388</v>
      </c>
      <c r="N46" s="348">
        <f t="shared" si="22"/>
        <v>456.11111111111109</v>
      </c>
      <c r="O46" s="351">
        <f t="shared" si="22"/>
        <v>380</v>
      </c>
      <c r="Q46" s="375" t="s">
        <v>74</v>
      </c>
    </row>
    <row r="47" spans="1:17" ht="15.75" thickBot="1" x14ac:dyDescent="0.3">
      <c r="A47" s="537"/>
      <c r="B47" s="437" t="s">
        <v>12</v>
      </c>
      <c r="C47" s="352">
        <f>C20/C12*C11</f>
        <v>232.79999999999998</v>
      </c>
      <c r="D47" s="353">
        <f>D20/D12*D11</f>
        <v>197.76</v>
      </c>
      <c r="E47" s="353">
        <f>E20/E12*E11</f>
        <v>157.32</v>
      </c>
      <c r="F47" s="353">
        <f>F20/F12*F11</f>
        <v>110.64000000000001</v>
      </c>
      <c r="G47" s="354">
        <f>$G$20*G11/$G$12</f>
        <v>58.199999999999996</v>
      </c>
      <c r="H47" s="355">
        <f t="shared" ref="H47:O47" si="23">H20/H12*H11</f>
        <v>780.6</v>
      </c>
      <c r="I47" s="353">
        <f t="shared" si="23"/>
        <v>735.6</v>
      </c>
      <c r="J47" s="353">
        <f t="shared" si="23"/>
        <v>690.60000000000014</v>
      </c>
      <c r="K47" s="353">
        <f t="shared" si="23"/>
        <v>644.04</v>
      </c>
      <c r="L47" s="353">
        <f t="shared" si="23"/>
        <v>599.04</v>
      </c>
      <c r="M47" s="357">
        <f t="shared" si="23"/>
        <v>465.59999999999997</v>
      </c>
      <c r="N47" s="355">
        <f t="shared" si="23"/>
        <v>547.33333333333337</v>
      </c>
      <c r="O47" s="358">
        <f t="shared" si="23"/>
        <v>456</v>
      </c>
      <c r="Q47" s="375" t="s">
        <v>74</v>
      </c>
    </row>
    <row r="48" spans="1:17" s="1" customFormat="1" ht="16.5" customHeight="1" thickBot="1" x14ac:dyDescent="0.3">
      <c r="A48" s="537"/>
      <c r="B48" s="438" t="s">
        <v>84</v>
      </c>
      <c r="C48" s="359">
        <f>SUM(C45:C47)</f>
        <v>698.4</v>
      </c>
      <c r="D48" s="360">
        <f>SUM(D45:D47)</f>
        <v>593.28</v>
      </c>
      <c r="E48" s="360">
        <f>SUM(E45:E47)</f>
        <v>471.96</v>
      </c>
      <c r="F48" s="360">
        <f>SUM(F45:F47)</f>
        <v>331.92000000000007</v>
      </c>
      <c r="G48" s="361">
        <f>SUM(G45:G47)</f>
        <v>174.6</v>
      </c>
      <c r="H48" s="362">
        <f>+H20</f>
        <v>2341.8000000000002</v>
      </c>
      <c r="I48" s="363">
        <f>+I20</f>
        <v>2206.8000000000002</v>
      </c>
      <c r="J48" s="363">
        <f>+J20</f>
        <v>2071.8000000000002</v>
      </c>
      <c r="K48" s="363">
        <f>+K20</f>
        <v>1932.12</v>
      </c>
      <c r="L48" s="363">
        <f>+L20</f>
        <v>1797.12</v>
      </c>
      <c r="M48" s="364">
        <f>+M20</f>
        <v>1396.8</v>
      </c>
      <c r="N48" s="362"/>
      <c r="O48" s="365"/>
      <c r="P48" s="302" t="e">
        <f>P51/#REF!*P19</f>
        <v>#REF!</v>
      </c>
      <c r="Q48" s="375" t="s">
        <v>74</v>
      </c>
    </row>
    <row r="49" spans="1:17" s="1" customFormat="1" ht="16.5" hidden="1" customHeight="1" x14ac:dyDescent="0.25">
      <c r="A49" s="537"/>
      <c r="B49" s="488"/>
      <c r="C49" s="488" t="b">
        <f t="shared" ref="C49:O49" si="24">C20=C48</f>
        <v>1</v>
      </c>
      <c r="D49" s="488" t="b">
        <f t="shared" si="24"/>
        <v>1</v>
      </c>
      <c r="E49" s="488" t="b">
        <f t="shared" si="24"/>
        <v>1</v>
      </c>
      <c r="F49" s="488" t="b">
        <f t="shared" si="24"/>
        <v>1</v>
      </c>
      <c r="G49" s="488" t="b">
        <f t="shared" si="24"/>
        <v>1</v>
      </c>
      <c r="H49" s="488" t="b">
        <f t="shared" si="24"/>
        <v>1</v>
      </c>
      <c r="I49" s="488"/>
      <c r="J49" s="488" t="b">
        <f t="shared" si="24"/>
        <v>1</v>
      </c>
      <c r="K49" s="488" t="b">
        <f t="shared" si="24"/>
        <v>1</v>
      </c>
      <c r="L49" s="488" t="b">
        <f t="shared" si="24"/>
        <v>1</v>
      </c>
      <c r="M49" s="488" t="b">
        <f t="shared" si="24"/>
        <v>1</v>
      </c>
      <c r="N49" s="488" t="b">
        <f t="shared" si="24"/>
        <v>0</v>
      </c>
      <c r="O49" s="488" t="b">
        <f t="shared" si="24"/>
        <v>0</v>
      </c>
      <c r="P49" s="303" t="e">
        <f>P51/#REF!*P20</f>
        <v>#REF!</v>
      </c>
      <c r="Q49" s="375"/>
    </row>
    <row r="50" spans="1:17" s="1" customFormat="1" ht="33" customHeight="1" thickBot="1" x14ac:dyDescent="0.3">
      <c r="A50" s="538"/>
      <c r="B50" s="439" t="s">
        <v>85</v>
      </c>
      <c r="C50" s="542">
        <f>C48/9</f>
        <v>77.599999999999994</v>
      </c>
      <c r="D50" s="490">
        <f t="shared" ref="D50:M50" si="25">D48/9</f>
        <v>65.92</v>
      </c>
      <c r="E50" s="490">
        <v>52</v>
      </c>
      <c r="F50" s="490">
        <f t="shared" si="25"/>
        <v>36.88000000000001</v>
      </c>
      <c r="G50" s="545">
        <f t="shared" si="25"/>
        <v>19.399999999999999</v>
      </c>
      <c r="H50" s="546">
        <f t="shared" si="25"/>
        <v>260.20000000000005</v>
      </c>
      <c r="I50" s="490">
        <f t="shared" si="25"/>
        <v>245.20000000000002</v>
      </c>
      <c r="J50" s="490">
        <f t="shared" si="25"/>
        <v>230.20000000000002</v>
      </c>
      <c r="K50" s="490">
        <f t="shared" si="25"/>
        <v>214.67999999999998</v>
      </c>
      <c r="L50" s="547">
        <f t="shared" si="25"/>
        <v>199.67999999999998</v>
      </c>
      <c r="M50" s="548">
        <f t="shared" si="25"/>
        <v>155.19999999999999</v>
      </c>
      <c r="N50" s="362"/>
      <c r="O50" s="365"/>
      <c r="P50" s="304" t="e">
        <f>P51/#REF!*P21</f>
        <v>#REF!</v>
      </c>
      <c r="Q50" s="375" t="s">
        <v>74</v>
      </c>
    </row>
    <row r="51" spans="1:17" s="1" customFormat="1" ht="16.5" customHeight="1" thickBot="1" x14ac:dyDescent="0.3">
      <c r="A51" s="5"/>
      <c r="H51" s="368"/>
      <c r="I51" s="368"/>
      <c r="K51" s="368"/>
      <c r="P51" s="305"/>
    </row>
    <row r="52" spans="1:17" x14ac:dyDescent="0.25">
      <c r="A52" s="1"/>
      <c r="B52" s="5" t="s">
        <v>69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7" s="1" customFormat="1" x14ac:dyDescent="0.25">
      <c r="B53" s="5" t="s">
        <v>54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7" s="1" customFormat="1" x14ac:dyDescent="0.25">
      <c r="B54" s="5" t="s">
        <v>55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7" s="1" customFormat="1" x14ac:dyDescent="0.25">
      <c r="B55" s="487" t="s">
        <v>56</v>
      </c>
      <c r="P55" s="5"/>
    </row>
    <row r="56" spans="1:17" s="1" customFormat="1" x14ac:dyDescent="0.25">
      <c r="A56" s="5"/>
      <c r="B56" s="193" t="s">
        <v>57</v>
      </c>
      <c r="C56" s="194">
        <v>2.0499999999999998</v>
      </c>
      <c r="D56" s="194">
        <v>2.1800000000000002</v>
      </c>
      <c r="E56" s="194">
        <v>2.31</v>
      </c>
      <c r="F56" s="194">
        <v>2.38</v>
      </c>
      <c r="G56" s="194">
        <v>2.57</v>
      </c>
      <c r="H56" s="194"/>
      <c r="I56" s="194"/>
      <c r="J56" s="194">
        <v>4.29</v>
      </c>
      <c r="K56" s="194"/>
      <c r="L56" s="194">
        <v>4.68</v>
      </c>
      <c r="M56" s="194">
        <v>3.41</v>
      </c>
      <c r="N56" s="194"/>
      <c r="O56" s="194"/>
      <c r="P56" s="163"/>
    </row>
    <row r="57" spans="1:17" s="1" customFormat="1" x14ac:dyDescent="0.25">
      <c r="A57" s="5"/>
      <c r="B57" s="193" t="s">
        <v>59</v>
      </c>
      <c r="P57" s="194"/>
    </row>
    <row r="58" spans="1:17" s="1" customFormat="1" x14ac:dyDescent="0.25">
      <c r="A58" s="5"/>
      <c r="P58" s="194"/>
    </row>
    <row r="59" spans="1:17" s="1" customFormat="1" x14ac:dyDescent="0.25">
      <c r="A59" s="535" t="s">
        <v>123</v>
      </c>
      <c r="B59" s="535"/>
      <c r="C59" s="535"/>
      <c r="D59" s="535"/>
      <c r="E59" s="535"/>
      <c r="F59" s="535"/>
      <c r="G59" s="535"/>
      <c r="H59" s="535"/>
      <c r="I59" s="535"/>
      <c r="J59" s="535"/>
      <c r="K59" s="535"/>
      <c r="L59" s="535"/>
      <c r="M59" s="535"/>
      <c r="P59" s="194"/>
    </row>
    <row r="60" spans="1:17" s="1" customFormat="1" ht="15.75" thickBot="1" x14ac:dyDescent="0.3">
      <c r="A60" s="5"/>
    </row>
    <row r="61" spans="1:17" x14ac:dyDescent="0.25">
      <c r="A61" s="471" t="s">
        <v>92</v>
      </c>
      <c r="B61" s="472"/>
      <c r="C61" s="472"/>
      <c r="D61" s="486"/>
      <c r="E61" s="486"/>
      <c r="F61" s="486"/>
      <c r="G61" s="486"/>
      <c r="H61" s="486"/>
      <c r="I61" s="486"/>
      <c r="J61" s="486"/>
      <c r="K61" s="486"/>
      <c r="L61" s="486"/>
      <c r="M61" s="72"/>
      <c r="N61" s="486"/>
      <c r="O61" s="72"/>
    </row>
    <row r="62" spans="1:17" x14ac:dyDescent="0.25">
      <c r="A62" s="473"/>
      <c r="B62" s="474"/>
      <c r="C62" s="474" t="s">
        <v>93</v>
      </c>
      <c r="D62" s="174">
        <v>2.75</v>
      </c>
      <c r="E62" s="488"/>
      <c r="F62" s="488"/>
      <c r="G62" s="488"/>
      <c r="H62" s="488"/>
      <c r="I62" s="488"/>
      <c r="J62" s="488"/>
      <c r="K62" s="488"/>
      <c r="L62" s="488"/>
      <c r="M62" s="135"/>
      <c r="N62" s="488"/>
      <c r="O62" s="135"/>
    </row>
    <row r="63" spans="1:17" x14ac:dyDescent="0.25">
      <c r="A63" s="473"/>
      <c r="B63" s="474"/>
      <c r="C63" s="474" t="s">
        <v>94</v>
      </c>
      <c r="D63" s="174">
        <v>3.35</v>
      </c>
      <c r="E63" s="510" t="s">
        <v>97</v>
      </c>
      <c r="F63" s="510"/>
      <c r="G63" s="510"/>
      <c r="H63" s="510"/>
      <c r="I63" s="510"/>
      <c r="J63" s="510"/>
      <c r="K63" s="510"/>
      <c r="L63" s="488"/>
      <c r="M63" s="135"/>
      <c r="N63" s="488"/>
      <c r="O63" s="135"/>
    </row>
    <row r="64" spans="1:17" x14ac:dyDescent="0.25">
      <c r="A64" s="473"/>
      <c r="B64" s="474"/>
      <c r="C64" s="474"/>
      <c r="D64" s="488"/>
      <c r="E64" s="488"/>
      <c r="F64" s="488"/>
      <c r="G64" s="488"/>
      <c r="H64" s="488"/>
      <c r="I64" s="488"/>
      <c r="J64" s="488"/>
      <c r="K64" s="488"/>
      <c r="L64" s="488"/>
      <c r="M64" s="135"/>
      <c r="N64" s="488"/>
      <c r="O64" s="135"/>
    </row>
    <row r="65" spans="1:15" x14ac:dyDescent="0.25">
      <c r="A65" s="473"/>
      <c r="B65" s="474"/>
      <c r="C65" s="474" t="s">
        <v>95</v>
      </c>
      <c r="D65" s="174">
        <v>6</v>
      </c>
      <c r="E65" s="488"/>
      <c r="F65" s="488"/>
      <c r="G65" s="488"/>
      <c r="H65" s="488"/>
      <c r="I65" s="488"/>
      <c r="J65" s="488"/>
      <c r="K65" s="488"/>
      <c r="L65" s="488"/>
      <c r="M65" s="135"/>
      <c r="N65" s="488"/>
      <c r="O65" s="135"/>
    </row>
    <row r="66" spans="1:15" x14ac:dyDescent="0.25">
      <c r="A66" s="473"/>
      <c r="B66" s="474"/>
      <c r="C66" s="474" t="s">
        <v>96</v>
      </c>
      <c r="D66" s="174">
        <v>6</v>
      </c>
      <c r="E66" s="488"/>
      <c r="F66" s="488"/>
      <c r="G66" s="488"/>
      <c r="H66" s="488"/>
      <c r="I66" s="488"/>
      <c r="J66" s="488"/>
      <c r="K66" s="488"/>
      <c r="L66" s="488"/>
      <c r="M66" s="135"/>
      <c r="N66" s="488"/>
      <c r="O66" s="135"/>
    </row>
    <row r="67" spans="1:15" ht="15.75" thickBot="1" x14ac:dyDescent="0.3">
      <c r="A67" s="475"/>
      <c r="B67" s="476"/>
      <c r="C67" s="476"/>
      <c r="D67" s="394"/>
      <c r="E67" s="394"/>
      <c r="F67" s="394"/>
      <c r="G67" s="394"/>
      <c r="H67" s="394"/>
      <c r="I67" s="394"/>
      <c r="J67" s="394"/>
      <c r="K67" s="394"/>
      <c r="L67" s="394"/>
      <c r="M67" s="395"/>
      <c r="N67" s="394"/>
      <c r="O67" s="395"/>
    </row>
    <row r="69" spans="1:15" ht="15.75" thickBot="1" x14ac:dyDescent="0.3"/>
    <row r="70" spans="1:15" x14ac:dyDescent="0.25">
      <c r="A70" s="471" t="s">
        <v>98</v>
      </c>
      <c r="B70" s="472"/>
      <c r="C70" s="472"/>
      <c r="D70" s="486"/>
      <c r="E70" s="486"/>
      <c r="F70" s="486"/>
      <c r="G70" s="486"/>
      <c r="H70" s="486"/>
      <c r="I70" s="486"/>
      <c r="J70" s="486"/>
      <c r="K70" s="486"/>
      <c r="L70" s="486"/>
      <c r="M70" s="72"/>
      <c r="N70" s="486"/>
      <c r="O70" s="72"/>
    </row>
    <row r="71" spans="1:15" x14ac:dyDescent="0.25">
      <c r="A71" s="473"/>
      <c r="B71" s="474"/>
      <c r="C71" s="474" t="s">
        <v>99</v>
      </c>
      <c r="D71" s="174">
        <v>8.9499999999999993</v>
      </c>
      <c r="E71" s="488"/>
      <c r="F71" s="488"/>
      <c r="G71" s="488"/>
      <c r="H71" s="488"/>
      <c r="I71" s="488"/>
      <c r="J71" s="488"/>
      <c r="K71" s="488"/>
      <c r="L71" s="488"/>
      <c r="M71" s="135"/>
      <c r="N71" s="488"/>
      <c r="O71" s="135"/>
    </row>
    <row r="72" spans="1:15" x14ac:dyDescent="0.25">
      <c r="A72" s="473"/>
      <c r="B72" s="474"/>
      <c r="C72" s="474" t="s">
        <v>100</v>
      </c>
      <c r="D72" s="174">
        <v>4.8499999999999996</v>
      </c>
      <c r="E72" s="488"/>
      <c r="F72" s="488"/>
      <c r="G72" s="488"/>
      <c r="H72" s="488"/>
      <c r="I72" s="488"/>
      <c r="J72" s="488"/>
      <c r="K72" s="488"/>
      <c r="L72" s="488"/>
      <c r="M72" s="135"/>
      <c r="N72" s="488"/>
      <c r="O72" s="135"/>
    </row>
    <row r="73" spans="1:15" x14ac:dyDescent="0.25">
      <c r="A73" s="473"/>
      <c r="B73" s="474"/>
      <c r="C73" s="474" t="s">
        <v>104</v>
      </c>
      <c r="D73" s="174">
        <v>12.75</v>
      </c>
      <c r="E73" s="488"/>
      <c r="F73" s="488"/>
      <c r="G73" s="488"/>
      <c r="H73" s="488"/>
      <c r="I73" s="488"/>
      <c r="J73" s="488"/>
      <c r="K73" s="488"/>
      <c r="L73" s="488"/>
      <c r="M73" s="135"/>
      <c r="N73" s="488"/>
      <c r="O73" s="135"/>
    </row>
    <row r="74" spans="1:15" x14ac:dyDescent="0.25">
      <c r="A74" s="473"/>
      <c r="B74" s="474"/>
      <c r="C74" s="474" t="s">
        <v>105</v>
      </c>
      <c r="D74" s="174">
        <v>11.5</v>
      </c>
      <c r="E74" s="488"/>
      <c r="F74" s="488"/>
      <c r="G74" s="488"/>
      <c r="H74" s="488"/>
      <c r="I74" s="488"/>
      <c r="J74" s="488"/>
      <c r="K74" s="488"/>
      <c r="L74" s="488"/>
      <c r="M74" s="135"/>
      <c r="N74" s="488"/>
      <c r="O74" s="135"/>
    </row>
    <row r="75" spans="1:15" x14ac:dyDescent="0.25">
      <c r="A75" s="473"/>
      <c r="B75" s="474"/>
      <c r="C75" s="474" t="s">
        <v>106</v>
      </c>
      <c r="D75" s="174">
        <v>2.5499999999999998</v>
      </c>
      <c r="E75" s="488"/>
      <c r="F75" s="488"/>
      <c r="G75" s="488"/>
      <c r="H75" s="488"/>
      <c r="I75" s="488"/>
      <c r="J75" s="488"/>
      <c r="K75" s="488"/>
      <c r="L75" s="488"/>
      <c r="M75" s="135"/>
      <c r="N75" s="488"/>
      <c r="O75" s="135"/>
    </row>
    <row r="76" spans="1:15" ht="15.75" thickBot="1" x14ac:dyDescent="0.3">
      <c r="A76" s="475"/>
      <c r="B76" s="476"/>
      <c r="C76" s="476"/>
      <c r="D76" s="394"/>
      <c r="E76" s="394"/>
      <c r="F76" s="394"/>
      <c r="G76" s="394"/>
      <c r="H76" s="394"/>
      <c r="I76" s="394"/>
      <c r="J76" s="394"/>
      <c r="K76" s="394"/>
      <c r="L76" s="394"/>
      <c r="M76" s="395"/>
      <c r="N76" s="394"/>
      <c r="O76" s="395"/>
    </row>
    <row r="78" spans="1:15" ht="15.75" thickBot="1" x14ac:dyDescent="0.3"/>
    <row r="79" spans="1:15" ht="15.75" thickBot="1" x14ac:dyDescent="0.3">
      <c r="A79" s="484" t="s">
        <v>101</v>
      </c>
      <c r="B79" s="477"/>
      <c r="C79" s="477"/>
      <c r="D79" s="479">
        <v>35</v>
      </c>
      <c r="E79" s="478"/>
      <c r="F79" s="478"/>
      <c r="G79" s="478"/>
      <c r="H79" s="478"/>
      <c r="I79" s="478"/>
      <c r="J79" s="478"/>
      <c r="K79" s="478"/>
      <c r="L79" s="478"/>
      <c r="M79" s="485"/>
    </row>
    <row r="81" spans="1:15" ht="15.75" thickBot="1" x14ac:dyDescent="0.3"/>
    <row r="82" spans="1:15" x14ac:dyDescent="0.25">
      <c r="A82" s="471" t="s">
        <v>102</v>
      </c>
      <c r="B82" s="472"/>
      <c r="C82" s="472"/>
      <c r="D82" s="480"/>
      <c r="E82" s="486"/>
      <c r="F82" s="486"/>
      <c r="G82" s="486"/>
      <c r="H82" s="486"/>
      <c r="I82" s="486"/>
      <c r="J82" s="486"/>
      <c r="K82" s="486"/>
      <c r="L82" s="486"/>
      <c r="M82" s="72"/>
      <c r="N82" s="486"/>
      <c r="O82" s="72"/>
    </row>
    <row r="83" spans="1:15" x14ac:dyDescent="0.25">
      <c r="A83" s="473"/>
      <c r="B83" s="474"/>
      <c r="C83" s="474" t="s">
        <v>124</v>
      </c>
      <c r="D83" s="481">
        <v>4.8499999999999996</v>
      </c>
      <c r="E83" s="488"/>
      <c r="F83" s="488"/>
      <c r="G83" s="488"/>
      <c r="H83" s="488"/>
      <c r="I83" s="488"/>
      <c r="J83" s="488"/>
      <c r="K83" s="488"/>
      <c r="L83" s="488"/>
      <c r="M83" s="135"/>
      <c r="N83" s="488"/>
      <c r="O83" s="135"/>
    </row>
    <row r="84" spans="1:15" x14ac:dyDescent="0.25">
      <c r="A84" s="473"/>
      <c r="B84" s="474"/>
      <c r="C84" s="474" t="s">
        <v>125</v>
      </c>
      <c r="D84" s="481">
        <v>11</v>
      </c>
      <c r="E84" s="488"/>
      <c r="F84" s="488"/>
      <c r="G84" s="488"/>
      <c r="H84" s="488"/>
      <c r="I84" s="488"/>
      <c r="J84" s="488"/>
      <c r="K84" s="488"/>
      <c r="L84" s="488"/>
      <c r="M84" s="135"/>
      <c r="N84" s="488"/>
      <c r="O84" s="135"/>
    </row>
    <row r="85" spans="1:15" x14ac:dyDescent="0.25">
      <c r="A85" s="473"/>
      <c r="B85" s="474"/>
      <c r="C85" s="474" t="s">
        <v>103</v>
      </c>
      <c r="D85" s="481">
        <v>2.5</v>
      </c>
      <c r="E85" s="488"/>
      <c r="F85" s="488"/>
      <c r="G85" s="488"/>
      <c r="H85" s="488"/>
      <c r="I85" s="488"/>
      <c r="J85" s="488"/>
      <c r="K85" s="488"/>
      <c r="L85" s="488"/>
      <c r="M85" s="135"/>
      <c r="N85" s="488"/>
      <c r="O85" s="135"/>
    </row>
    <row r="86" spans="1:15" x14ac:dyDescent="0.25">
      <c r="A86" s="473"/>
      <c r="B86" s="474"/>
      <c r="C86" s="474"/>
      <c r="D86" s="482"/>
      <c r="E86" s="488"/>
      <c r="F86" s="488"/>
      <c r="G86" s="488"/>
      <c r="H86" s="488"/>
      <c r="I86" s="488"/>
      <c r="J86" s="488"/>
      <c r="K86" s="488"/>
      <c r="L86" s="488"/>
      <c r="M86" s="135"/>
      <c r="N86" s="488"/>
      <c r="O86" s="135"/>
    </row>
    <row r="87" spans="1:15" x14ac:dyDescent="0.25">
      <c r="A87" s="473"/>
      <c r="B87" s="474"/>
      <c r="C87" s="474" t="s">
        <v>126</v>
      </c>
      <c r="D87" s="481">
        <v>23.2</v>
      </c>
      <c r="E87" s="488"/>
      <c r="F87" s="488"/>
      <c r="G87" s="488"/>
      <c r="H87" s="488"/>
      <c r="I87" s="488"/>
      <c r="J87" s="488"/>
      <c r="K87" s="488"/>
      <c r="L87" s="488"/>
      <c r="M87" s="135"/>
      <c r="N87" s="488"/>
      <c r="O87" s="135"/>
    </row>
    <row r="88" spans="1:15" x14ac:dyDescent="0.25">
      <c r="A88" s="473"/>
      <c r="B88" s="474"/>
      <c r="C88" s="474"/>
      <c r="D88" s="481"/>
      <c r="E88" s="488"/>
      <c r="F88" s="488"/>
      <c r="G88" s="488"/>
      <c r="H88" s="488"/>
      <c r="I88" s="488"/>
      <c r="J88" s="488"/>
      <c r="K88" s="488"/>
      <c r="L88" s="488"/>
      <c r="M88" s="135"/>
      <c r="N88" s="488"/>
      <c r="O88" s="135"/>
    </row>
    <row r="89" spans="1:15" x14ac:dyDescent="0.25">
      <c r="A89" s="473"/>
      <c r="B89" s="474"/>
      <c r="C89" s="474" t="s">
        <v>127</v>
      </c>
      <c r="D89" s="481">
        <v>1.85</v>
      </c>
      <c r="E89" s="488"/>
      <c r="F89" s="488"/>
      <c r="G89" s="488"/>
      <c r="H89" s="488"/>
      <c r="I89" s="488"/>
      <c r="J89" s="488"/>
      <c r="K89" s="488"/>
      <c r="L89" s="488"/>
      <c r="M89" s="135"/>
      <c r="N89" s="488"/>
      <c r="O89" s="135"/>
    </row>
    <row r="90" spans="1:15" x14ac:dyDescent="0.25">
      <c r="A90" s="473"/>
      <c r="B90" s="474"/>
      <c r="C90" s="474" t="s">
        <v>128</v>
      </c>
      <c r="D90" s="481">
        <v>5</v>
      </c>
      <c r="E90" s="488"/>
      <c r="F90" s="488"/>
      <c r="G90" s="488"/>
      <c r="H90" s="488"/>
      <c r="I90" s="488"/>
      <c r="J90" s="488"/>
      <c r="K90" s="488"/>
      <c r="L90" s="488"/>
      <c r="M90" s="135"/>
      <c r="N90" s="488"/>
      <c r="O90" s="135"/>
    </row>
    <row r="91" spans="1:15" x14ac:dyDescent="0.25">
      <c r="A91" s="473"/>
      <c r="B91" s="474"/>
      <c r="C91" s="474" t="s">
        <v>103</v>
      </c>
      <c r="D91" s="481">
        <v>2.5</v>
      </c>
      <c r="E91" s="488"/>
      <c r="F91" s="488"/>
      <c r="G91" s="488"/>
      <c r="H91" s="488"/>
      <c r="I91" s="488"/>
      <c r="J91" s="488"/>
      <c r="K91" s="488"/>
      <c r="L91" s="488"/>
      <c r="M91" s="135"/>
      <c r="N91" s="488"/>
      <c r="O91" s="135"/>
    </row>
    <row r="92" spans="1:15" x14ac:dyDescent="0.25">
      <c r="A92" s="473"/>
      <c r="B92" s="474"/>
      <c r="C92" s="474"/>
      <c r="D92" s="481"/>
      <c r="E92" s="488"/>
      <c r="F92" s="488"/>
      <c r="G92" s="488"/>
      <c r="H92" s="488"/>
      <c r="I92" s="488"/>
      <c r="J92" s="488"/>
      <c r="K92" s="488"/>
      <c r="L92" s="488"/>
      <c r="M92" s="135"/>
      <c r="N92" s="488"/>
      <c r="O92" s="135"/>
    </row>
    <row r="93" spans="1:15" x14ac:dyDescent="0.25">
      <c r="A93" s="473"/>
      <c r="B93" s="474"/>
      <c r="C93" s="474" t="s">
        <v>129</v>
      </c>
      <c r="D93" s="481">
        <v>11.2</v>
      </c>
      <c r="E93" s="488"/>
      <c r="F93" s="488"/>
      <c r="G93" s="488"/>
      <c r="H93" s="488"/>
      <c r="I93" s="488"/>
      <c r="J93" s="488"/>
      <c r="K93" s="488"/>
      <c r="L93" s="488"/>
      <c r="M93" s="135"/>
      <c r="N93" s="488"/>
      <c r="O93" s="135"/>
    </row>
    <row r="94" spans="1:15" ht="15.75" thickBot="1" x14ac:dyDescent="0.3">
      <c r="A94" s="475"/>
      <c r="B94" s="476"/>
      <c r="C94" s="476"/>
      <c r="D94" s="483"/>
      <c r="E94" s="394"/>
      <c r="F94" s="394"/>
      <c r="G94" s="394"/>
      <c r="H94" s="394"/>
      <c r="I94" s="394"/>
      <c r="J94" s="394"/>
      <c r="K94" s="394"/>
      <c r="L94" s="394"/>
      <c r="M94" s="395"/>
      <c r="N94" s="394"/>
      <c r="O94" s="395"/>
    </row>
  </sheetData>
  <mergeCells count="16">
    <mergeCell ref="T22:U22"/>
    <mergeCell ref="A24:A32"/>
    <mergeCell ref="B1:O1"/>
    <mergeCell ref="A3:M3"/>
    <mergeCell ref="A6:A12"/>
    <mergeCell ref="B7:B8"/>
    <mergeCell ref="A13:A14"/>
    <mergeCell ref="A15:A16"/>
    <mergeCell ref="A36:A43"/>
    <mergeCell ref="A45:A50"/>
    <mergeCell ref="A59:M59"/>
    <mergeCell ref="E63:K63"/>
    <mergeCell ref="A18:A19"/>
    <mergeCell ref="A20:A21"/>
    <mergeCell ref="E22:F22"/>
    <mergeCell ref="L22:M22"/>
  </mergeCells>
  <pageMargins left="1.2204724409448819" right="0.39370078740157483" top="0.35433070866141736" bottom="0.35433070866141736" header="0.11811023622047245" footer="0.11811023622047245"/>
  <pageSetup paperSize="9" scale="74" orientation="landscape" r:id="rId1"/>
  <rowBreaks count="1" manualBreakCount="1">
    <brk id="50" max="16383" man="1"/>
  </rowBreaks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workbookViewId="0">
      <selection activeCell="C10" sqref="C10"/>
    </sheetView>
  </sheetViews>
  <sheetFormatPr baseColWidth="10" defaultRowHeight="15" x14ac:dyDescent="0.25"/>
  <cols>
    <col min="1" max="1" width="11.42578125" style="1"/>
    <col min="2" max="2" width="16.140625" style="1" bestFit="1" customWidth="1"/>
    <col min="3" max="3" width="11.42578125" style="1"/>
    <col min="4" max="4" width="11.42578125" style="1" customWidth="1"/>
    <col min="5" max="21" width="11.42578125" style="1"/>
    <col min="22" max="16384" width="11.42578125" style="5"/>
  </cols>
  <sheetData>
    <row r="1" spans="2:10" x14ac:dyDescent="0.25">
      <c r="B1" s="507" t="s">
        <v>22</v>
      </c>
      <c r="C1" s="507"/>
      <c r="D1" s="507"/>
      <c r="E1" s="507"/>
      <c r="F1" s="507"/>
      <c r="G1" s="507"/>
      <c r="H1" s="507"/>
      <c r="I1" s="507"/>
      <c r="J1" s="507"/>
    </row>
    <row r="3" spans="2:10" x14ac:dyDescent="0.25">
      <c r="B3" s="2"/>
      <c r="C3" s="3"/>
      <c r="D3" s="3"/>
      <c r="E3" s="3"/>
      <c r="F3" s="3"/>
      <c r="G3" s="3"/>
      <c r="H3" s="4"/>
      <c r="I3" s="3"/>
      <c r="J3" s="4"/>
    </row>
    <row r="4" spans="2:10" x14ac:dyDescent="0.25">
      <c r="B4" s="6" t="s">
        <v>13</v>
      </c>
      <c r="C4" s="7">
        <v>32</v>
      </c>
      <c r="D4" s="7">
        <v>32</v>
      </c>
      <c r="E4" s="7">
        <v>32</v>
      </c>
      <c r="F4" s="7">
        <v>32</v>
      </c>
      <c r="G4" s="7">
        <v>32</v>
      </c>
      <c r="H4" s="8">
        <v>32</v>
      </c>
      <c r="I4" s="7">
        <v>32</v>
      </c>
      <c r="J4" s="8">
        <v>32</v>
      </c>
    </row>
    <row r="5" spans="2:10" x14ac:dyDescent="0.25">
      <c r="B5" s="6" t="s">
        <v>9</v>
      </c>
      <c r="C5" s="7">
        <f>C4*6</f>
        <v>192</v>
      </c>
      <c r="D5" s="9">
        <f>D4*5</f>
        <v>160</v>
      </c>
      <c r="E5" s="9">
        <f>E4*4</f>
        <v>128</v>
      </c>
      <c r="F5" s="7">
        <f>F4*3</f>
        <v>96</v>
      </c>
      <c r="G5" s="9">
        <f>G4*2</f>
        <v>64</v>
      </c>
      <c r="H5" s="10">
        <f>H4*1</f>
        <v>32</v>
      </c>
      <c r="I5" s="7">
        <f>I4*6</f>
        <v>192</v>
      </c>
      <c r="J5" s="8">
        <f>J4*6</f>
        <v>192</v>
      </c>
    </row>
    <row r="6" spans="2:10" x14ac:dyDescent="0.25">
      <c r="B6" s="6"/>
      <c r="C6" s="7"/>
      <c r="D6" s="7"/>
      <c r="E6" s="7"/>
      <c r="F6" s="7"/>
      <c r="G6" s="7"/>
      <c r="H6" s="8"/>
      <c r="I6" s="7"/>
      <c r="J6" s="8"/>
    </row>
    <row r="7" spans="2:10" ht="16.5" customHeight="1" x14ac:dyDescent="0.25">
      <c r="B7" s="6"/>
      <c r="C7" s="11" t="s">
        <v>8</v>
      </c>
      <c r="D7" s="11" t="s">
        <v>3</v>
      </c>
      <c r="E7" s="11" t="s">
        <v>4</v>
      </c>
      <c r="F7" s="11" t="s">
        <v>5</v>
      </c>
      <c r="G7" s="11" t="s">
        <v>6</v>
      </c>
      <c r="H7" s="12" t="s">
        <v>7</v>
      </c>
      <c r="I7" s="7" t="s">
        <v>20</v>
      </c>
      <c r="J7" s="8" t="s">
        <v>21</v>
      </c>
    </row>
    <row r="8" spans="2:10" ht="16.5" customHeight="1" x14ac:dyDescent="0.25">
      <c r="B8" s="6"/>
      <c r="C8" s="11"/>
      <c r="D8" s="11"/>
      <c r="E8" s="11"/>
      <c r="F8" s="11"/>
      <c r="G8" s="11"/>
      <c r="H8" s="12"/>
      <c r="I8" s="7"/>
      <c r="J8" s="8"/>
    </row>
    <row r="9" spans="2:10" ht="16.5" customHeight="1" x14ac:dyDescent="0.25">
      <c r="B9" s="6"/>
      <c r="C9" s="7" t="s">
        <v>1</v>
      </c>
      <c r="D9" s="7" t="s">
        <v>1</v>
      </c>
      <c r="E9" s="7" t="s">
        <v>1</v>
      </c>
      <c r="F9" s="7" t="s">
        <v>1</v>
      </c>
      <c r="G9" s="7" t="s">
        <v>1</v>
      </c>
      <c r="H9" s="8" t="s">
        <v>1</v>
      </c>
      <c r="I9" s="7"/>
      <c r="J9" s="8"/>
    </row>
    <row r="10" spans="2:10" ht="16.5" customHeight="1" x14ac:dyDescent="0.25">
      <c r="B10" s="44" t="s">
        <v>23</v>
      </c>
      <c r="C10" s="52">
        <f>10*6</f>
        <v>60</v>
      </c>
      <c r="D10" s="52">
        <f>10*5</f>
        <v>50</v>
      </c>
      <c r="E10" s="52">
        <f>10*4</f>
        <v>40</v>
      </c>
      <c r="F10" s="52">
        <f>10*3</f>
        <v>30</v>
      </c>
      <c r="G10" s="52">
        <f>10*2</f>
        <v>20</v>
      </c>
      <c r="H10" s="53">
        <f>10</f>
        <v>10</v>
      </c>
      <c r="I10" s="52">
        <f>C10</f>
        <v>60</v>
      </c>
      <c r="J10" s="53">
        <f>C10</f>
        <v>60</v>
      </c>
    </row>
    <row r="11" spans="2:10" ht="16.5" customHeight="1" x14ac:dyDescent="0.25">
      <c r="B11" s="6" t="s">
        <v>24</v>
      </c>
      <c r="C11" s="7">
        <f>8*6</f>
        <v>48</v>
      </c>
      <c r="D11" s="9">
        <f>8*5</f>
        <v>40</v>
      </c>
      <c r="E11" s="9">
        <f>8*4</f>
        <v>32</v>
      </c>
      <c r="F11" s="9">
        <f>8*3</f>
        <v>24</v>
      </c>
      <c r="G11" s="9">
        <f>8*2</f>
        <v>16</v>
      </c>
      <c r="H11" s="10">
        <f>8</f>
        <v>8</v>
      </c>
      <c r="I11" s="7">
        <f>C11</f>
        <v>48</v>
      </c>
      <c r="J11" s="8">
        <f>C11</f>
        <v>48</v>
      </c>
    </row>
    <row r="12" spans="2:10" ht="16.5" customHeight="1" x14ac:dyDescent="0.25">
      <c r="B12" s="6" t="s">
        <v>16</v>
      </c>
      <c r="C12" s="7">
        <f>14*6</f>
        <v>84</v>
      </c>
      <c r="D12" s="9">
        <f>14*5</f>
        <v>70</v>
      </c>
      <c r="E12" s="9">
        <f>14*4</f>
        <v>56</v>
      </c>
      <c r="F12" s="9">
        <f>14*3</f>
        <v>42</v>
      </c>
      <c r="G12" s="9">
        <f>14*2</f>
        <v>28</v>
      </c>
      <c r="H12" s="10">
        <f>14</f>
        <v>14</v>
      </c>
      <c r="I12" s="7">
        <f>C12</f>
        <v>84</v>
      </c>
      <c r="J12" s="8">
        <v>84</v>
      </c>
    </row>
    <row r="13" spans="2:10" ht="16.5" customHeight="1" x14ac:dyDescent="0.25">
      <c r="B13" s="6" t="s">
        <v>9</v>
      </c>
      <c r="C13" s="13">
        <f>SUM(C10:C12)</f>
        <v>192</v>
      </c>
      <c r="D13" s="13">
        <f>SUM(D10:D12)</f>
        <v>160</v>
      </c>
      <c r="E13" s="13">
        <f t="shared" ref="E13:H13" si="0">SUM(E10:E12)</f>
        <v>128</v>
      </c>
      <c r="F13" s="13">
        <f t="shared" si="0"/>
        <v>96</v>
      </c>
      <c r="G13" s="13">
        <f t="shared" si="0"/>
        <v>64</v>
      </c>
      <c r="H13" s="14">
        <f t="shared" si="0"/>
        <v>32</v>
      </c>
      <c r="I13" s="17">
        <f>SUM(I10:I12)</f>
        <v>192</v>
      </c>
      <c r="J13" s="18">
        <f>SUM(J10:J12)</f>
        <v>192</v>
      </c>
    </row>
    <row r="14" spans="2:10" ht="16.5" customHeight="1" x14ac:dyDescent="0.25">
      <c r="B14" s="6"/>
      <c r="C14" s="15"/>
      <c r="D14" s="15"/>
      <c r="E14" s="15"/>
      <c r="F14" s="7"/>
      <c r="G14" s="7"/>
      <c r="H14" s="8"/>
      <c r="I14" s="7"/>
      <c r="J14" s="8"/>
    </row>
    <row r="15" spans="2:10" ht="16.5" customHeight="1" x14ac:dyDescent="0.25">
      <c r="B15" s="6" t="s">
        <v>0</v>
      </c>
      <c r="C15" s="16">
        <v>568.08000000000004</v>
      </c>
      <c r="D15" s="16">
        <v>520.20000000000005</v>
      </c>
      <c r="E15" s="16">
        <v>463.58</v>
      </c>
      <c r="F15" s="17">
        <v>382.32</v>
      </c>
      <c r="G15" s="17">
        <v>280.08</v>
      </c>
      <c r="H15" s="18">
        <v>154.08000000000001</v>
      </c>
      <c r="I15" s="17">
        <v>1435.15</v>
      </c>
      <c r="J15" s="33">
        <v>1291.7</v>
      </c>
    </row>
    <row r="16" spans="2:10" ht="24" customHeight="1" x14ac:dyDescent="0.25">
      <c r="B16" s="19" t="s">
        <v>2</v>
      </c>
      <c r="C16" s="20">
        <f t="shared" ref="C16:H16" si="1">C15/C13</f>
        <v>2.9587500000000002</v>
      </c>
      <c r="D16" s="20">
        <f t="shared" si="1"/>
        <v>3.2512500000000002</v>
      </c>
      <c r="E16" s="20">
        <f t="shared" si="1"/>
        <v>3.6217187499999999</v>
      </c>
      <c r="F16" s="20">
        <f t="shared" si="1"/>
        <v>3.9824999999999999</v>
      </c>
      <c r="G16" s="20">
        <f t="shared" si="1"/>
        <v>4.3762499999999998</v>
      </c>
      <c r="H16" s="21">
        <f t="shared" si="1"/>
        <v>4.8150000000000004</v>
      </c>
      <c r="I16" s="41">
        <f>I15/I13</f>
        <v>7.4747395833333341</v>
      </c>
      <c r="J16" s="40">
        <f>+J15/J13</f>
        <v>6.7276041666666666</v>
      </c>
    </row>
    <row r="17" spans="2:13" ht="16.5" customHeight="1" x14ac:dyDescent="0.25">
      <c r="B17" s="6"/>
      <c r="C17" s="22"/>
      <c r="D17" s="22"/>
      <c r="E17" s="22"/>
      <c r="F17" s="22"/>
      <c r="G17" s="22"/>
      <c r="H17" s="8"/>
      <c r="I17" s="22"/>
      <c r="J17" s="8"/>
    </row>
    <row r="18" spans="2:13" ht="16.5" customHeight="1" x14ac:dyDescent="0.25">
      <c r="B18" s="2"/>
      <c r="C18" s="508" t="s">
        <v>17</v>
      </c>
      <c r="D18" s="508"/>
      <c r="E18" s="508"/>
      <c r="F18" s="508"/>
      <c r="G18" s="508"/>
      <c r="H18" s="509"/>
      <c r="I18" s="2"/>
      <c r="J18" s="4"/>
    </row>
    <row r="19" spans="2:13" ht="16.5" customHeight="1" x14ac:dyDescent="0.25">
      <c r="B19" s="44" t="s">
        <v>10</v>
      </c>
      <c r="C19" s="45">
        <f>$C$15*C10/$C$13</f>
        <v>177.52500000000001</v>
      </c>
      <c r="D19" s="45">
        <f>$D$15*D10/$D$13</f>
        <v>162.56250000000003</v>
      </c>
      <c r="E19" s="45">
        <f>$E$15*E10/$E$13</f>
        <v>144.86875000000001</v>
      </c>
      <c r="F19" s="45">
        <f>$F$15*F10/$F$13</f>
        <v>119.47500000000001</v>
      </c>
      <c r="G19" s="45">
        <f>$G$15*G10/$G$13</f>
        <v>87.524999999999991</v>
      </c>
      <c r="H19" s="45">
        <f>$H$15*H10/$H$13</f>
        <v>48.150000000000006</v>
      </c>
      <c r="I19" s="47">
        <f>I15*$I$10/$I$13</f>
        <v>448.484375</v>
      </c>
      <c r="J19" s="46">
        <f>+$J$15*J10/$J$13</f>
        <v>403.65625</v>
      </c>
    </row>
    <row r="20" spans="2:13" ht="16.5" customHeight="1" x14ac:dyDescent="0.25">
      <c r="B20" s="6" t="s">
        <v>11</v>
      </c>
      <c r="C20" s="42">
        <f>$C$15*C11/$C$13</f>
        <v>142.02000000000001</v>
      </c>
      <c r="D20" s="42">
        <f t="shared" ref="D20:D21" si="2">$D$15*D11/$D$13</f>
        <v>130.05000000000001</v>
      </c>
      <c r="E20" s="42">
        <f t="shared" ref="E20:E21" si="3">$E$15*E11/$E$13</f>
        <v>115.895</v>
      </c>
      <c r="F20" s="42">
        <f t="shared" ref="F20:F21" si="4">$F$15*F11/$F$13</f>
        <v>95.58</v>
      </c>
      <c r="G20" s="42">
        <f t="shared" ref="G20:G21" si="5">$G$15*G11/$G$13</f>
        <v>70.02</v>
      </c>
      <c r="H20" s="42">
        <f t="shared" ref="H20:H21" si="6">$H$15*H11/$H$13</f>
        <v>38.520000000000003</v>
      </c>
      <c r="I20" s="43">
        <f>$I$15*I11/$I$13</f>
        <v>358.78750000000008</v>
      </c>
      <c r="J20" s="24">
        <f t="shared" ref="J20:J21" si="7">+$J$15*J11/$J$13</f>
        <v>322.92500000000001</v>
      </c>
    </row>
    <row r="21" spans="2:13" ht="16.5" customHeight="1" x14ac:dyDescent="0.25">
      <c r="B21" s="6" t="s">
        <v>12</v>
      </c>
      <c r="C21" s="42">
        <f>$C$15*C12/$C$13</f>
        <v>248.535</v>
      </c>
      <c r="D21" s="42">
        <f t="shared" si="2"/>
        <v>227.58750000000001</v>
      </c>
      <c r="E21" s="42">
        <f t="shared" si="3"/>
        <v>202.81625</v>
      </c>
      <c r="F21" s="42">
        <f t="shared" si="4"/>
        <v>167.26500000000001</v>
      </c>
      <c r="G21" s="42">
        <f t="shared" si="5"/>
        <v>122.535</v>
      </c>
      <c r="H21" s="42">
        <f t="shared" si="6"/>
        <v>67.410000000000011</v>
      </c>
      <c r="I21" s="43">
        <f>$I$15*I12/$I$13</f>
        <v>627.87812500000007</v>
      </c>
      <c r="J21" s="24">
        <f t="shared" si="7"/>
        <v>565.11874999999998</v>
      </c>
    </row>
    <row r="22" spans="2:13" ht="16.5" customHeight="1" x14ac:dyDescent="0.25">
      <c r="B22" s="25"/>
      <c r="C22" s="27">
        <f>C19+C20+C21</f>
        <v>568.08000000000004</v>
      </c>
      <c r="D22" s="27">
        <f>D19+D20+D21</f>
        <v>520.20000000000005</v>
      </c>
      <c r="E22" s="26">
        <f>173.84+86.92+202.82</f>
        <v>463.58</v>
      </c>
      <c r="F22" s="26">
        <f>143.37+71.68+167.27</f>
        <v>382.32000000000005</v>
      </c>
      <c r="G22" s="26">
        <f>105.03+52.51+122.54</f>
        <v>280.08</v>
      </c>
      <c r="H22" s="28">
        <f>57.78+28.89+67.41</f>
        <v>154.07999999999998</v>
      </c>
      <c r="I22" s="38">
        <f>538.18+269.09+627.88</f>
        <v>1435.15</v>
      </c>
      <c r="J22" s="39">
        <f>484.39+242.19+565.12</f>
        <v>1291.6999999999998</v>
      </c>
      <c r="M22" s="1">
        <f>216/6</f>
        <v>36</v>
      </c>
    </row>
    <row r="23" spans="2:13" x14ac:dyDescent="0.25">
      <c r="B23" s="6"/>
      <c r="C23" s="29"/>
      <c r="D23" s="29"/>
      <c r="E23" s="29"/>
      <c r="F23" s="29"/>
      <c r="G23" s="29"/>
      <c r="H23" s="8"/>
      <c r="I23" s="6"/>
      <c r="J23" s="8"/>
    </row>
    <row r="24" spans="2:13" x14ac:dyDescent="0.25">
      <c r="B24" s="6"/>
      <c r="C24" s="510" t="s">
        <v>18</v>
      </c>
      <c r="D24" s="510"/>
      <c r="E24" s="510"/>
      <c r="F24" s="510"/>
      <c r="G24" s="510"/>
      <c r="H24" s="511"/>
      <c r="I24" s="6"/>
      <c r="J24" s="8"/>
    </row>
    <row r="25" spans="2:13" x14ac:dyDescent="0.25">
      <c r="B25" s="44" t="s">
        <v>10</v>
      </c>
      <c r="C25" s="54">
        <f>C19/$C$16</f>
        <v>60</v>
      </c>
      <c r="D25" s="54">
        <f>D19/$D$16</f>
        <v>50.000000000000007</v>
      </c>
      <c r="E25" s="54">
        <f>E19/$E$16</f>
        <v>40</v>
      </c>
      <c r="F25" s="54">
        <f>F19/$F$16</f>
        <v>30.000000000000004</v>
      </c>
      <c r="G25" s="54">
        <f>G19/$G$16</f>
        <v>20</v>
      </c>
      <c r="H25" s="53">
        <f>H19/$H$16</f>
        <v>10</v>
      </c>
      <c r="I25" s="55">
        <f>I19/I16</f>
        <v>59.999999999999993</v>
      </c>
      <c r="J25" s="46"/>
    </row>
    <row r="26" spans="2:13" x14ac:dyDescent="0.25">
      <c r="B26" s="6" t="s">
        <v>11</v>
      </c>
      <c r="C26" s="30">
        <f>C20/$C$16</f>
        <v>48</v>
      </c>
      <c r="D26" s="30">
        <f t="shared" ref="D26:D27" si="8">D20/$D$16</f>
        <v>40</v>
      </c>
      <c r="E26" s="30">
        <f t="shared" ref="E26:E27" si="9">E20/$E$16</f>
        <v>32</v>
      </c>
      <c r="F26" s="30">
        <f t="shared" ref="F26:F27" si="10">F20/$F$16</f>
        <v>24</v>
      </c>
      <c r="G26" s="30">
        <f t="shared" ref="G26:G27" si="11">G20/$G$16</f>
        <v>16</v>
      </c>
      <c r="H26" s="10">
        <f t="shared" ref="H26:H27" si="12">H20/$H$16</f>
        <v>8</v>
      </c>
      <c r="I26" s="36">
        <f>I20/I16</f>
        <v>48.000000000000007</v>
      </c>
      <c r="J26" s="24"/>
    </row>
    <row r="27" spans="2:13" x14ac:dyDescent="0.25">
      <c r="B27" s="25" t="s">
        <v>12</v>
      </c>
      <c r="C27" s="31">
        <f t="shared" ref="C27" si="13">C21/$C$16</f>
        <v>83.999999999999986</v>
      </c>
      <c r="D27" s="31">
        <f t="shared" si="8"/>
        <v>70</v>
      </c>
      <c r="E27" s="31">
        <f t="shared" si="9"/>
        <v>56</v>
      </c>
      <c r="F27" s="31">
        <f t="shared" si="10"/>
        <v>42.000000000000007</v>
      </c>
      <c r="G27" s="31">
        <f t="shared" si="11"/>
        <v>28</v>
      </c>
      <c r="H27" s="32">
        <f t="shared" si="12"/>
        <v>14.000000000000002</v>
      </c>
      <c r="I27" s="37">
        <f>I21/I16</f>
        <v>84</v>
      </c>
      <c r="J27" s="35"/>
    </row>
  </sheetData>
  <mergeCells count="3">
    <mergeCell ref="B1:J1"/>
    <mergeCell ref="C18:H18"/>
    <mergeCell ref="C24:H24"/>
  </mergeCells>
  <pageMargins left="0.43307086614173229" right="0.39370078740157483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workbookViewId="0">
      <selection activeCell="I34" sqref="I34"/>
    </sheetView>
  </sheetViews>
  <sheetFormatPr baseColWidth="10" defaultRowHeight="15" x14ac:dyDescent="0.25"/>
  <cols>
    <col min="1" max="1" width="16.5703125" style="1" bestFit="1" customWidth="1"/>
    <col min="2" max="2" width="9.5703125" style="1" bestFit="1" customWidth="1"/>
    <col min="3" max="10" width="8" style="1" bestFit="1" customWidth="1"/>
    <col min="11" max="13" width="13.7109375" style="1" bestFit="1" customWidth="1"/>
    <col min="14" max="24" width="11.42578125" style="1"/>
    <col min="25" max="16384" width="11.42578125" style="5"/>
  </cols>
  <sheetData>
    <row r="1" spans="1:13" x14ac:dyDescent="0.25">
      <c r="A1" s="507" t="s">
        <v>27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</row>
    <row r="2" spans="1:13" ht="15.75" thickBot="1" x14ac:dyDescent="0.3"/>
    <row r="3" spans="1:13" x14ac:dyDescent="0.25">
      <c r="A3" s="56"/>
      <c r="B3" s="65"/>
      <c r="C3" s="65"/>
      <c r="D3" s="65"/>
      <c r="E3" s="65"/>
      <c r="F3" s="65"/>
      <c r="G3" s="134"/>
      <c r="H3" s="134"/>
      <c r="I3" s="134"/>
      <c r="J3" s="134"/>
      <c r="K3" s="134"/>
      <c r="L3" s="134"/>
      <c r="M3" s="66"/>
    </row>
    <row r="4" spans="1:13" x14ac:dyDescent="0.25">
      <c r="A4" s="57" t="s">
        <v>13</v>
      </c>
      <c r="B4" s="7">
        <v>32</v>
      </c>
      <c r="C4" s="7">
        <v>32</v>
      </c>
      <c r="D4" s="7">
        <v>32</v>
      </c>
      <c r="E4" s="7">
        <v>32</v>
      </c>
      <c r="F4" s="7">
        <v>32</v>
      </c>
      <c r="G4" s="8">
        <v>32</v>
      </c>
      <c r="H4" s="8">
        <v>32</v>
      </c>
      <c r="I4" s="8">
        <v>32</v>
      </c>
      <c r="J4" s="8">
        <v>32</v>
      </c>
      <c r="K4" s="8">
        <v>32</v>
      </c>
      <c r="L4" s="8">
        <v>32</v>
      </c>
      <c r="M4" s="135">
        <v>32</v>
      </c>
    </row>
    <row r="5" spans="1:13" x14ac:dyDescent="0.25">
      <c r="A5" s="57" t="s">
        <v>9</v>
      </c>
      <c r="B5" s="7">
        <f>B4*6</f>
        <v>192</v>
      </c>
      <c r="C5" s="9">
        <f>C4*5</f>
        <v>160</v>
      </c>
      <c r="D5" s="9">
        <f>D4*4</f>
        <v>128</v>
      </c>
      <c r="E5" s="7">
        <f>E4*3</f>
        <v>96</v>
      </c>
      <c r="F5" s="9">
        <f>F4*2</f>
        <v>64</v>
      </c>
      <c r="G5" s="10">
        <f>G4*1</f>
        <v>32</v>
      </c>
      <c r="H5" s="10">
        <v>224</v>
      </c>
      <c r="I5" s="7">
        <f>I4*6</f>
        <v>192</v>
      </c>
      <c r="J5" s="9">
        <f>J4*5</f>
        <v>160</v>
      </c>
      <c r="K5" s="10">
        <v>224</v>
      </c>
      <c r="L5" s="7">
        <f>L4*6</f>
        <v>192</v>
      </c>
      <c r="M5" s="59">
        <f>M4*5</f>
        <v>160</v>
      </c>
    </row>
    <row r="6" spans="1:13" ht="15.75" thickBot="1" x14ac:dyDescent="0.3">
      <c r="A6" s="57"/>
      <c r="B6" s="7"/>
      <c r="C6" s="7"/>
      <c r="D6" s="7"/>
      <c r="E6" s="7"/>
      <c r="F6" s="7"/>
      <c r="G6" s="8"/>
      <c r="H6" s="8"/>
      <c r="I6" s="8"/>
      <c r="J6" s="8"/>
      <c r="K6" s="8"/>
      <c r="L6" s="8"/>
      <c r="M6" s="58"/>
    </row>
    <row r="7" spans="1:13" ht="16.5" customHeight="1" x14ac:dyDescent="0.25">
      <c r="A7" s="124"/>
      <c r="B7" s="125" t="s">
        <v>8</v>
      </c>
      <c r="C7" s="125" t="s">
        <v>3</v>
      </c>
      <c r="D7" s="125" t="s">
        <v>4</v>
      </c>
      <c r="E7" s="125" t="s">
        <v>5</v>
      </c>
      <c r="F7" s="125" t="s">
        <v>6</v>
      </c>
      <c r="G7" s="126" t="s">
        <v>7</v>
      </c>
      <c r="H7" s="126" t="s">
        <v>33</v>
      </c>
      <c r="I7" s="126" t="s">
        <v>32</v>
      </c>
      <c r="J7" s="126" t="s">
        <v>31</v>
      </c>
      <c r="K7" s="126" t="s">
        <v>30</v>
      </c>
      <c r="L7" s="126" t="s">
        <v>29</v>
      </c>
      <c r="M7" s="127" t="s">
        <v>34</v>
      </c>
    </row>
    <row r="8" spans="1:13" ht="16.5" customHeight="1" thickBot="1" x14ac:dyDescent="0.3">
      <c r="A8" s="128"/>
      <c r="B8" s="129"/>
      <c r="C8" s="129"/>
      <c r="D8" s="129"/>
      <c r="E8" s="129"/>
      <c r="F8" s="129"/>
      <c r="G8" s="130"/>
      <c r="H8" s="130"/>
      <c r="I8" s="130"/>
      <c r="J8" s="130"/>
      <c r="K8" s="130"/>
      <c r="L8" s="130"/>
      <c r="M8" s="131"/>
    </row>
    <row r="9" spans="1:13" ht="16.5" customHeight="1" thickBot="1" x14ac:dyDescent="0.3">
      <c r="A9" s="57"/>
      <c r="B9" s="132" t="s">
        <v>1</v>
      </c>
      <c r="C9" s="132" t="s">
        <v>1</v>
      </c>
      <c r="D9" s="132" t="s">
        <v>1</v>
      </c>
      <c r="E9" s="132" t="s">
        <v>1</v>
      </c>
      <c r="F9" s="132" t="s">
        <v>1</v>
      </c>
      <c r="G9" s="132" t="s">
        <v>1</v>
      </c>
      <c r="H9" s="132" t="s">
        <v>1</v>
      </c>
      <c r="I9" s="132" t="s">
        <v>1</v>
      </c>
      <c r="J9" s="132" t="s">
        <v>1</v>
      </c>
      <c r="K9" s="132" t="s">
        <v>1</v>
      </c>
      <c r="L9" s="132" t="s">
        <v>1</v>
      </c>
      <c r="M9" s="136" t="s">
        <v>1</v>
      </c>
    </row>
    <row r="10" spans="1:13" ht="16.5" customHeight="1" thickBot="1" x14ac:dyDescent="0.3">
      <c r="A10" s="61" t="s">
        <v>25</v>
      </c>
      <c r="B10" s="62">
        <v>66</v>
      </c>
      <c r="C10" s="62">
        <v>55</v>
      </c>
      <c r="D10" s="62">
        <v>44</v>
      </c>
      <c r="E10" s="62">
        <v>33</v>
      </c>
      <c r="F10" s="62">
        <v>22</v>
      </c>
      <c r="G10" s="63">
        <v>11</v>
      </c>
      <c r="H10" s="63">
        <v>77</v>
      </c>
      <c r="I10" s="63">
        <v>66</v>
      </c>
      <c r="J10" s="63">
        <v>55</v>
      </c>
      <c r="K10" s="63">
        <v>77</v>
      </c>
      <c r="L10" s="63">
        <v>66</v>
      </c>
      <c r="M10" s="64">
        <v>55</v>
      </c>
    </row>
    <row r="11" spans="1:13" ht="16.5" customHeight="1" thickBot="1" x14ac:dyDescent="0.3">
      <c r="A11" s="77" t="s">
        <v>26</v>
      </c>
      <c r="B11" s="86">
        <v>42</v>
      </c>
      <c r="C11" s="87">
        <v>35</v>
      </c>
      <c r="D11" s="87">
        <v>28</v>
      </c>
      <c r="E11" s="87">
        <v>21</v>
      </c>
      <c r="F11" s="87">
        <v>14</v>
      </c>
      <c r="G11" s="88">
        <v>7</v>
      </c>
      <c r="H11" s="88">
        <v>49</v>
      </c>
      <c r="I11" s="88">
        <v>42</v>
      </c>
      <c r="J11" s="88">
        <v>35</v>
      </c>
      <c r="K11" s="88">
        <v>49</v>
      </c>
      <c r="L11" s="88">
        <v>42</v>
      </c>
      <c r="M11" s="89">
        <v>35</v>
      </c>
    </row>
    <row r="12" spans="1:13" ht="16.5" customHeight="1" thickBot="1" x14ac:dyDescent="0.3">
      <c r="A12" s="92" t="s">
        <v>16</v>
      </c>
      <c r="B12" s="93">
        <f>14*6</f>
        <v>84</v>
      </c>
      <c r="C12" s="94">
        <f>14*5</f>
        <v>70</v>
      </c>
      <c r="D12" s="94">
        <f>14*4</f>
        <v>56</v>
      </c>
      <c r="E12" s="94">
        <f>14*3</f>
        <v>42</v>
      </c>
      <c r="F12" s="94">
        <f>14*2</f>
        <v>28</v>
      </c>
      <c r="G12" s="95">
        <f>14</f>
        <v>14</v>
      </c>
      <c r="H12" s="95">
        <v>98</v>
      </c>
      <c r="I12" s="95">
        <v>84</v>
      </c>
      <c r="J12" s="95">
        <v>70</v>
      </c>
      <c r="K12" s="95">
        <v>98</v>
      </c>
      <c r="L12" s="95">
        <v>84</v>
      </c>
      <c r="M12" s="96">
        <v>70</v>
      </c>
    </row>
    <row r="13" spans="1:13" ht="16.5" customHeight="1" x14ac:dyDescent="0.25">
      <c r="A13" s="101" t="s">
        <v>9</v>
      </c>
      <c r="B13" s="102">
        <f>SUM(B10:B12)</f>
        <v>192</v>
      </c>
      <c r="C13" s="102">
        <f>SUM(C10:C12)</f>
        <v>160</v>
      </c>
      <c r="D13" s="102">
        <f t="shared" ref="D13:G13" si="0">SUM(D10:D12)</f>
        <v>128</v>
      </c>
      <c r="E13" s="102">
        <f t="shared" si="0"/>
        <v>96</v>
      </c>
      <c r="F13" s="102">
        <f t="shared" si="0"/>
        <v>64</v>
      </c>
      <c r="G13" s="102">
        <f t="shared" si="0"/>
        <v>32</v>
      </c>
      <c r="H13" s="103">
        <v>224</v>
      </c>
      <c r="I13" s="104">
        <v>192</v>
      </c>
      <c r="J13" s="103">
        <v>160</v>
      </c>
      <c r="K13" s="103">
        <v>224</v>
      </c>
      <c r="L13" s="104">
        <v>192</v>
      </c>
      <c r="M13" s="105">
        <v>160</v>
      </c>
    </row>
    <row r="14" spans="1:13" ht="16.5" customHeight="1" thickBot="1" x14ac:dyDescent="0.3">
      <c r="A14" s="106"/>
      <c r="B14" s="107"/>
      <c r="C14" s="107"/>
      <c r="D14" s="107"/>
      <c r="E14" s="108"/>
      <c r="F14" s="108"/>
      <c r="G14" s="108"/>
      <c r="H14" s="108"/>
      <c r="I14" s="108"/>
      <c r="J14" s="108"/>
      <c r="K14" s="108"/>
      <c r="L14" s="108"/>
      <c r="M14" s="109"/>
    </row>
    <row r="15" spans="1:13" ht="16.5" customHeight="1" thickBot="1" x14ac:dyDescent="0.3">
      <c r="A15" s="60" t="s">
        <v>0</v>
      </c>
      <c r="B15" s="97">
        <v>637.20000000000005</v>
      </c>
      <c r="C15" s="97">
        <v>531</v>
      </c>
      <c r="D15" s="97">
        <v>468</v>
      </c>
      <c r="E15" s="98">
        <v>383.4</v>
      </c>
      <c r="F15" s="98">
        <v>272.16000000000003</v>
      </c>
      <c r="G15" s="99">
        <v>144</v>
      </c>
      <c r="H15" s="99">
        <v>1957.68</v>
      </c>
      <c r="I15" s="99">
        <v>1729.44</v>
      </c>
      <c r="J15" s="99">
        <v>1501.2</v>
      </c>
      <c r="K15" s="99">
        <v>1342.8</v>
      </c>
      <c r="L15" s="99">
        <v>1092.24</v>
      </c>
      <c r="M15" s="100">
        <v>970.2</v>
      </c>
    </row>
    <row r="16" spans="1:13" ht="24" customHeight="1" thickBot="1" x14ac:dyDescent="0.3">
      <c r="A16" s="67" t="s">
        <v>2</v>
      </c>
      <c r="B16" s="68">
        <f t="shared" ref="B16:M16" si="1">B15/B13</f>
        <v>3.3187500000000001</v>
      </c>
      <c r="C16" s="68">
        <f t="shared" si="1"/>
        <v>3.3187500000000001</v>
      </c>
      <c r="D16" s="68">
        <f t="shared" si="1"/>
        <v>3.65625</v>
      </c>
      <c r="E16" s="68">
        <f t="shared" si="1"/>
        <v>3.9937499999999999</v>
      </c>
      <c r="F16" s="68">
        <f t="shared" si="1"/>
        <v>4.2525000000000004</v>
      </c>
      <c r="G16" s="69">
        <f t="shared" si="1"/>
        <v>4.5</v>
      </c>
      <c r="H16" s="69">
        <f t="shared" si="1"/>
        <v>8.7396428571428579</v>
      </c>
      <c r="I16" s="69">
        <f t="shared" si="1"/>
        <v>9.0075000000000003</v>
      </c>
      <c r="J16" s="69">
        <f t="shared" si="1"/>
        <v>9.3825000000000003</v>
      </c>
      <c r="K16" s="69">
        <f t="shared" si="1"/>
        <v>5.9946428571428569</v>
      </c>
      <c r="L16" s="69">
        <f t="shared" si="1"/>
        <v>5.6887499999999998</v>
      </c>
      <c r="M16" s="70">
        <f t="shared" si="1"/>
        <v>6.0637500000000006</v>
      </c>
    </row>
    <row r="17" spans="1:13" ht="16.5" customHeight="1" x14ac:dyDescent="0.25">
      <c r="A17" s="56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2"/>
    </row>
    <row r="18" spans="1:13" ht="16.5" customHeight="1" thickBot="1" x14ac:dyDescent="0.3">
      <c r="A18" s="60"/>
      <c r="B18" s="513" t="s">
        <v>17</v>
      </c>
      <c r="C18" s="513"/>
      <c r="D18" s="513"/>
      <c r="E18" s="513"/>
      <c r="F18" s="513"/>
      <c r="G18" s="513"/>
      <c r="H18" s="513"/>
      <c r="I18" s="513"/>
      <c r="J18" s="513"/>
      <c r="K18" s="513"/>
      <c r="L18" s="513"/>
      <c r="M18" s="514"/>
    </row>
    <row r="19" spans="1:13" ht="16.5" customHeight="1" x14ac:dyDescent="0.25">
      <c r="A19" s="120" t="s">
        <v>11</v>
      </c>
      <c r="B19" s="73">
        <f>$B$15*B10/$B$13</f>
        <v>219.03750000000002</v>
      </c>
      <c r="C19" s="73">
        <f>$C$15*C10/$C$13</f>
        <v>182.53125</v>
      </c>
      <c r="D19" s="73">
        <f>$D$15*D10/$D$13</f>
        <v>160.875</v>
      </c>
      <c r="E19" s="73">
        <f>$E$15*E10/$E$13</f>
        <v>131.79374999999999</v>
      </c>
      <c r="F19" s="73">
        <f>$F$15*F10/$F$13</f>
        <v>93.555000000000007</v>
      </c>
      <c r="G19" s="73">
        <f>$G$15*G10/$G$13</f>
        <v>49.5</v>
      </c>
      <c r="H19" s="74">
        <f>H15/H13*H10</f>
        <v>672.9525000000001</v>
      </c>
      <c r="I19" s="75">
        <f t="shared" ref="I19:M19" si="2">I15/I13*I10</f>
        <v>594.495</v>
      </c>
      <c r="J19" s="73">
        <f t="shared" si="2"/>
        <v>516.03750000000002</v>
      </c>
      <c r="K19" s="75">
        <v>461.58</v>
      </c>
      <c r="L19" s="75">
        <f t="shared" si="2"/>
        <v>375.45749999999998</v>
      </c>
      <c r="M19" s="76">
        <f t="shared" si="2"/>
        <v>333.50625000000002</v>
      </c>
    </row>
    <row r="20" spans="1:13" ht="16.5" customHeight="1" x14ac:dyDescent="0.25">
      <c r="A20" s="121" t="s">
        <v>12</v>
      </c>
      <c r="B20" s="78">
        <v>139.38</v>
      </c>
      <c r="C20" s="78">
        <f t="shared" ref="C20" si="3">$C$15*C11/$C$13</f>
        <v>116.15625</v>
      </c>
      <c r="D20" s="78">
        <f t="shared" ref="D20" si="4">$D$15*D11/$D$13</f>
        <v>102.375</v>
      </c>
      <c r="E20" s="78">
        <f t="shared" ref="E20" si="5">$E$15*E11/$E$13</f>
        <v>83.868749999999991</v>
      </c>
      <c r="F20" s="78">
        <f t="shared" ref="F20" si="6">$F$15*F11/$F$13</f>
        <v>59.535000000000004</v>
      </c>
      <c r="G20" s="78">
        <f t="shared" ref="G20" si="7">$G$15*G11/$G$13</f>
        <v>31.5</v>
      </c>
      <c r="H20" s="79">
        <f>H15/H13*H11</f>
        <v>428.24250000000006</v>
      </c>
      <c r="I20" s="80">
        <f t="shared" ref="I20:M20" si="8">I15/I13*I11</f>
        <v>378.315</v>
      </c>
      <c r="J20" s="78">
        <v>328.38</v>
      </c>
      <c r="K20" s="80">
        <f t="shared" si="8"/>
        <v>293.73750000000001</v>
      </c>
      <c r="L20" s="80">
        <v>238.92</v>
      </c>
      <c r="M20" s="81">
        <f t="shared" si="8"/>
        <v>212.23125000000002</v>
      </c>
    </row>
    <row r="21" spans="1:13" ht="16.5" customHeight="1" thickBot="1" x14ac:dyDescent="0.3">
      <c r="A21" s="122" t="s">
        <v>10</v>
      </c>
      <c r="B21" s="82">
        <f>$B$15*B12/$B$13</f>
        <v>278.77500000000003</v>
      </c>
      <c r="C21" s="82">
        <f>$C$15*C12/$C$13</f>
        <v>232.3125</v>
      </c>
      <c r="D21" s="82">
        <f>$D$15*D12/$D$13</f>
        <v>204.75</v>
      </c>
      <c r="E21" s="82">
        <f>$E$15*E12/$E$13</f>
        <v>167.73749999999998</v>
      </c>
      <c r="F21" s="82">
        <v>119.06</v>
      </c>
      <c r="G21" s="82">
        <f>$G$15*G12/$G$13</f>
        <v>63</v>
      </c>
      <c r="H21" s="83">
        <f t="shared" ref="H21:M21" si="9">H15/H13*H12</f>
        <v>856.48500000000013</v>
      </c>
      <c r="I21" s="84">
        <v>756.62</v>
      </c>
      <c r="J21" s="82">
        <f t="shared" si="9"/>
        <v>656.77499999999998</v>
      </c>
      <c r="K21" s="84">
        <f t="shared" si="9"/>
        <v>587.47500000000002</v>
      </c>
      <c r="L21" s="84">
        <f t="shared" si="9"/>
        <v>477.85499999999996</v>
      </c>
      <c r="M21" s="85">
        <f t="shared" si="9"/>
        <v>424.46250000000003</v>
      </c>
    </row>
    <row r="22" spans="1:13" ht="16.5" customHeight="1" thickBot="1" x14ac:dyDescent="0.3">
      <c r="A22" s="123"/>
      <c r="B22" s="97">
        <v>637.20000000000005</v>
      </c>
      <c r="C22" s="97">
        <v>531</v>
      </c>
      <c r="D22" s="97">
        <v>468</v>
      </c>
      <c r="E22" s="98">
        <v>383.4</v>
      </c>
      <c r="F22" s="98">
        <v>272.16000000000003</v>
      </c>
      <c r="G22" s="99">
        <v>144</v>
      </c>
      <c r="H22" s="99">
        <v>1957.68</v>
      </c>
      <c r="I22" s="99">
        <v>1729.44</v>
      </c>
      <c r="J22" s="99">
        <v>1501.2</v>
      </c>
      <c r="K22" s="99">
        <v>1342.8</v>
      </c>
      <c r="L22" s="99">
        <v>1092.24</v>
      </c>
      <c r="M22" s="100">
        <v>970.2</v>
      </c>
    </row>
    <row r="23" spans="1:13" x14ac:dyDescent="0.25">
      <c r="A23" s="56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2"/>
    </row>
    <row r="24" spans="1:13" ht="15.75" thickBot="1" x14ac:dyDescent="0.3">
      <c r="A24" s="512" t="s">
        <v>28</v>
      </c>
      <c r="B24" s="513"/>
      <c r="C24" s="513"/>
      <c r="D24" s="513"/>
      <c r="E24" s="513"/>
      <c r="F24" s="513"/>
      <c r="G24" s="513"/>
      <c r="H24" s="513"/>
      <c r="I24" s="513"/>
      <c r="J24" s="513"/>
      <c r="K24" s="513"/>
      <c r="L24" s="513"/>
      <c r="M24" s="514"/>
    </row>
    <row r="25" spans="1:13" x14ac:dyDescent="0.25">
      <c r="A25" s="120" t="s">
        <v>11</v>
      </c>
      <c r="B25" s="110">
        <f>B19/$B$16</f>
        <v>66</v>
      </c>
      <c r="C25" s="110">
        <f>C19/$C$16</f>
        <v>55</v>
      </c>
      <c r="D25" s="110">
        <f>D19/$D$16</f>
        <v>44</v>
      </c>
      <c r="E25" s="110">
        <f>E19/$E$16</f>
        <v>33</v>
      </c>
      <c r="F25" s="110">
        <f>F19/$F$16</f>
        <v>22</v>
      </c>
      <c r="G25" s="111">
        <f>G19/$G$16</f>
        <v>11</v>
      </c>
      <c r="H25" s="112">
        <v>77</v>
      </c>
      <c r="I25" s="113">
        <v>66</v>
      </c>
      <c r="J25" s="112">
        <v>55</v>
      </c>
      <c r="K25" s="110">
        <v>77</v>
      </c>
      <c r="L25" s="112">
        <v>66</v>
      </c>
      <c r="M25" s="114">
        <v>55</v>
      </c>
    </row>
    <row r="26" spans="1:13" x14ac:dyDescent="0.25">
      <c r="A26" s="121" t="s">
        <v>12</v>
      </c>
      <c r="B26" s="90">
        <f>B20/$B$16</f>
        <v>41.99774011299435</v>
      </c>
      <c r="C26" s="90">
        <f t="shared" ref="C26" si="10">C20/$C$16</f>
        <v>35</v>
      </c>
      <c r="D26" s="90">
        <f t="shared" ref="D26" si="11">D20/$D$16</f>
        <v>28</v>
      </c>
      <c r="E26" s="90">
        <f t="shared" ref="E26" si="12">E20/$E$16</f>
        <v>21</v>
      </c>
      <c r="F26" s="90">
        <f t="shared" ref="F26" si="13">F20/$F$16</f>
        <v>14</v>
      </c>
      <c r="G26" s="88">
        <f t="shared" ref="G26" si="14">G20/$G$16</f>
        <v>7</v>
      </c>
      <c r="H26" s="87">
        <v>49</v>
      </c>
      <c r="I26" s="91">
        <v>42</v>
      </c>
      <c r="J26" s="87">
        <v>35</v>
      </c>
      <c r="K26" s="90">
        <v>49</v>
      </c>
      <c r="L26" s="87">
        <v>42</v>
      </c>
      <c r="M26" s="89">
        <v>35</v>
      </c>
    </row>
    <row r="27" spans="1:13" ht="15.75" thickBot="1" x14ac:dyDescent="0.3">
      <c r="A27" s="133" t="s">
        <v>10</v>
      </c>
      <c r="B27" s="115">
        <f>B21/$B$16</f>
        <v>84.000000000000014</v>
      </c>
      <c r="C27" s="115">
        <f>C21/$C$16</f>
        <v>70</v>
      </c>
      <c r="D27" s="115">
        <f>D21/$D$16</f>
        <v>56</v>
      </c>
      <c r="E27" s="115">
        <f>E21/$E$16</f>
        <v>42</v>
      </c>
      <c r="F27" s="115">
        <f>F21/$F$16</f>
        <v>27.997648442092885</v>
      </c>
      <c r="G27" s="116">
        <f>G21/$G$16</f>
        <v>14</v>
      </c>
      <c r="H27" s="117">
        <v>98</v>
      </c>
      <c r="I27" s="118">
        <v>84</v>
      </c>
      <c r="J27" s="117">
        <v>70</v>
      </c>
      <c r="K27" s="115">
        <v>98</v>
      </c>
      <c r="L27" s="117">
        <v>84</v>
      </c>
      <c r="M27" s="119">
        <v>70</v>
      </c>
    </row>
    <row r="28" spans="1:13" ht="15.75" thickBot="1" x14ac:dyDescent="0.3">
      <c r="A28" s="60"/>
      <c r="B28" s="137">
        <f>B25+B26+B27</f>
        <v>191.99774011299436</v>
      </c>
      <c r="C28" s="137">
        <f t="shared" ref="C28:M28" si="15">C25+C26+C27</f>
        <v>160</v>
      </c>
      <c r="D28" s="137">
        <f t="shared" si="15"/>
        <v>128</v>
      </c>
      <c r="E28" s="137">
        <f t="shared" si="15"/>
        <v>96</v>
      </c>
      <c r="F28" s="137">
        <f t="shared" si="15"/>
        <v>63.997648442092881</v>
      </c>
      <c r="G28" s="137">
        <f t="shared" si="15"/>
        <v>32</v>
      </c>
      <c r="H28" s="137">
        <f t="shared" si="15"/>
        <v>224</v>
      </c>
      <c r="I28" s="137">
        <f t="shared" si="15"/>
        <v>192</v>
      </c>
      <c r="J28" s="137">
        <f t="shared" si="15"/>
        <v>160</v>
      </c>
      <c r="K28" s="137">
        <f t="shared" si="15"/>
        <v>224</v>
      </c>
      <c r="L28" s="137">
        <f t="shared" si="15"/>
        <v>192</v>
      </c>
      <c r="M28" s="138">
        <f t="shared" si="15"/>
        <v>160</v>
      </c>
    </row>
  </sheetData>
  <mergeCells count="3">
    <mergeCell ref="A1:M1"/>
    <mergeCell ref="A24:M24"/>
    <mergeCell ref="B18:M18"/>
  </mergeCells>
  <pageMargins left="0.43307086614173229" right="0.39370078740157483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workbookViewId="0">
      <selection activeCell="A19" sqref="A19:M22"/>
    </sheetView>
  </sheetViews>
  <sheetFormatPr baseColWidth="10" defaultRowHeight="15" x14ac:dyDescent="0.25"/>
  <cols>
    <col min="1" max="1" width="16.5703125" style="1" bestFit="1" customWidth="1"/>
    <col min="2" max="2" width="9.5703125" style="1" bestFit="1" customWidth="1"/>
    <col min="3" max="10" width="8" style="1" bestFit="1" customWidth="1"/>
    <col min="11" max="13" width="13.7109375" style="1" bestFit="1" customWidth="1"/>
    <col min="14" max="24" width="11.42578125" style="1"/>
    <col min="25" max="16384" width="11.42578125" style="5"/>
  </cols>
  <sheetData>
    <row r="1" spans="1:13" x14ac:dyDescent="0.25">
      <c r="A1" s="507" t="s">
        <v>35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</row>
    <row r="2" spans="1:13" ht="15.75" thickBot="1" x14ac:dyDescent="0.3"/>
    <row r="3" spans="1:13" x14ac:dyDescent="0.25">
      <c r="A3" s="56"/>
      <c r="B3" s="65"/>
      <c r="C3" s="65"/>
      <c r="D3" s="65"/>
      <c r="E3" s="65"/>
      <c r="F3" s="65"/>
      <c r="G3" s="142"/>
      <c r="H3" s="134"/>
      <c r="I3" s="134"/>
      <c r="J3" s="134"/>
      <c r="K3" s="134"/>
      <c r="L3" s="134"/>
      <c r="M3" s="66"/>
    </row>
    <row r="4" spans="1:13" x14ac:dyDescent="0.25">
      <c r="A4" s="57" t="s">
        <v>13</v>
      </c>
      <c r="B4" s="7">
        <v>32</v>
      </c>
      <c r="C4" s="7">
        <v>32</v>
      </c>
      <c r="D4" s="7">
        <v>32</v>
      </c>
      <c r="E4" s="7">
        <v>32</v>
      </c>
      <c r="F4" s="7">
        <v>32</v>
      </c>
      <c r="G4" s="143">
        <v>32</v>
      </c>
      <c r="H4" s="8">
        <v>32</v>
      </c>
      <c r="I4" s="8">
        <v>32</v>
      </c>
      <c r="J4" s="8">
        <v>32</v>
      </c>
      <c r="K4" s="8">
        <v>32</v>
      </c>
      <c r="L4" s="8">
        <v>32</v>
      </c>
      <c r="M4" s="135">
        <v>32</v>
      </c>
    </row>
    <row r="5" spans="1:13" x14ac:dyDescent="0.25">
      <c r="A5" s="57" t="s">
        <v>9</v>
      </c>
      <c r="B5" s="7">
        <f>B4*6</f>
        <v>192</v>
      </c>
      <c r="C5" s="9">
        <f>C4*5</f>
        <v>160</v>
      </c>
      <c r="D5" s="9">
        <f>D4*4</f>
        <v>128</v>
      </c>
      <c r="E5" s="7">
        <f>E4*3</f>
        <v>96</v>
      </c>
      <c r="F5" s="9">
        <f>F4*2</f>
        <v>64</v>
      </c>
      <c r="G5" s="144">
        <f>G4*1</f>
        <v>32</v>
      </c>
      <c r="H5" s="10">
        <v>224</v>
      </c>
      <c r="I5" s="7">
        <f>I4*6</f>
        <v>192</v>
      </c>
      <c r="J5" s="9">
        <f>J4*5</f>
        <v>160</v>
      </c>
      <c r="K5" s="10">
        <v>224</v>
      </c>
      <c r="L5" s="7">
        <f>L4*6</f>
        <v>192</v>
      </c>
      <c r="M5" s="59">
        <f>M4*5</f>
        <v>160</v>
      </c>
    </row>
    <row r="6" spans="1:13" ht="15.75" thickBot="1" x14ac:dyDescent="0.3">
      <c r="A6" s="57"/>
      <c r="B6" s="7"/>
      <c r="C6" s="7"/>
      <c r="D6" s="7"/>
      <c r="E6" s="7"/>
      <c r="F6" s="7"/>
      <c r="G6" s="143"/>
      <c r="H6" s="8"/>
      <c r="I6" s="8"/>
      <c r="J6" s="8"/>
      <c r="K6" s="8"/>
      <c r="L6" s="8"/>
      <c r="M6" s="58"/>
    </row>
    <row r="7" spans="1:13" ht="16.5" customHeight="1" x14ac:dyDescent="0.25">
      <c r="A7" s="124"/>
      <c r="B7" s="125" t="s">
        <v>8</v>
      </c>
      <c r="C7" s="125" t="s">
        <v>3</v>
      </c>
      <c r="D7" s="125" t="s">
        <v>4</v>
      </c>
      <c r="E7" s="125" t="s">
        <v>5</v>
      </c>
      <c r="F7" s="125" t="s">
        <v>6</v>
      </c>
      <c r="G7" s="145" t="s">
        <v>7</v>
      </c>
      <c r="H7" s="126" t="s">
        <v>33</v>
      </c>
      <c r="I7" s="126" t="s">
        <v>32</v>
      </c>
      <c r="J7" s="126" t="s">
        <v>31</v>
      </c>
      <c r="K7" s="126" t="s">
        <v>30</v>
      </c>
      <c r="L7" s="126" t="s">
        <v>29</v>
      </c>
      <c r="M7" s="127" t="s">
        <v>34</v>
      </c>
    </row>
    <row r="8" spans="1:13" ht="16.5" customHeight="1" thickBot="1" x14ac:dyDescent="0.3">
      <c r="A8" s="128"/>
      <c r="B8" s="129"/>
      <c r="C8" s="129"/>
      <c r="D8" s="129"/>
      <c r="E8" s="129"/>
      <c r="F8" s="129"/>
      <c r="G8" s="146"/>
      <c r="H8" s="130"/>
      <c r="I8" s="130"/>
      <c r="J8" s="130"/>
      <c r="K8" s="130"/>
      <c r="L8" s="130"/>
      <c r="M8" s="131"/>
    </row>
    <row r="9" spans="1:13" ht="16.5" customHeight="1" thickBot="1" x14ac:dyDescent="0.3">
      <c r="A9" s="57"/>
      <c r="B9" s="132" t="s">
        <v>1</v>
      </c>
      <c r="C9" s="132" t="s">
        <v>1</v>
      </c>
      <c r="D9" s="132" t="s">
        <v>1</v>
      </c>
      <c r="E9" s="132" t="s">
        <v>1</v>
      </c>
      <c r="F9" s="132" t="s">
        <v>1</v>
      </c>
      <c r="G9" s="147" t="s">
        <v>1</v>
      </c>
      <c r="H9" s="139" t="s">
        <v>1</v>
      </c>
      <c r="I9" s="132" t="s">
        <v>1</v>
      </c>
      <c r="J9" s="132" t="s">
        <v>1</v>
      </c>
      <c r="K9" s="132" t="s">
        <v>1</v>
      </c>
      <c r="L9" s="132" t="s">
        <v>1</v>
      </c>
      <c r="M9" s="136" t="s">
        <v>1</v>
      </c>
    </row>
    <row r="10" spans="1:13" ht="16.5" customHeight="1" thickBot="1" x14ac:dyDescent="0.3">
      <c r="A10" s="61" t="s">
        <v>25</v>
      </c>
      <c r="B10" s="62">
        <v>66</v>
      </c>
      <c r="C10" s="62">
        <v>55</v>
      </c>
      <c r="D10" s="62">
        <v>44</v>
      </c>
      <c r="E10" s="62">
        <v>33</v>
      </c>
      <c r="F10" s="62">
        <v>22</v>
      </c>
      <c r="G10" s="148">
        <v>11</v>
      </c>
      <c r="H10" s="63">
        <v>77</v>
      </c>
      <c r="I10" s="63">
        <v>66</v>
      </c>
      <c r="J10" s="63">
        <v>55</v>
      </c>
      <c r="K10" s="63">
        <v>77</v>
      </c>
      <c r="L10" s="63">
        <v>66</v>
      </c>
      <c r="M10" s="64">
        <v>55</v>
      </c>
    </row>
    <row r="11" spans="1:13" ht="16.5" customHeight="1" thickBot="1" x14ac:dyDescent="0.3">
      <c r="A11" s="77" t="s">
        <v>26</v>
      </c>
      <c r="B11" s="86">
        <v>42</v>
      </c>
      <c r="C11" s="87">
        <v>35</v>
      </c>
      <c r="D11" s="87">
        <v>28</v>
      </c>
      <c r="E11" s="87">
        <v>21</v>
      </c>
      <c r="F11" s="87">
        <v>14</v>
      </c>
      <c r="G11" s="149">
        <v>7</v>
      </c>
      <c r="H11" s="88">
        <v>49</v>
      </c>
      <c r="I11" s="88">
        <v>42</v>
      </c>
      <c r="J11" s="88">
        <v>35</v>
      </c>
      <c r="K11" s="88">
        <v>49</v>
      </c>
      <c r="L11" s="88">
        <v>42</v>
      </c>
      <c r="M11" s="89">
        <v>35</v>
      </c>
    </row>
    <row r="12" spans="1:13" ht="16.5" customHeight="1" thickBot="1" x14ac:dyDescent="0.3">
      <c r="A12" s="92" t="s">
        <v>16</v>
      </c>
      <c r="B12" s="93">
        <f>14*6</f>
        <v>84</v>
      </c>
      <c r="C12" s="94">
        <f>14*5</f>
        <v>70</v>
      </c>
      <c r="D12" s="94">
        <f>14*4</f>
        <v>56</v>
      </c>
      <c r="E12" s="94">
        <f>14*3</f>
        <v>42</v>
      </c>
      <c r="F12" s="94">
        <f>14*2</f>
        <v>28</v>
      </c>
      <c r="G12" s="150">
        <f>14</f>
        <v>14</v>
      </c>
      <c r="H12" s="95">
        <v>98</v>
      </c>
      <c r="I12" s="95">
        <v>84</v>
      </c>
      <c r="J12" s="95">
        <v>70</v>
      </c>
      <c r="K12" s="95">
        <v>98</v>
      </c>
      <c r="L12" s="95">
        <v>84</v>
      </c>
      <c r="M12" s="96">
        <v>70</v>
      </c>
    </row>
    <row r="13" spans="1:13" ht="16.5" customHeight="1" x14ac:dyDescent="0.25">
      <c r="A13" s="101" t="s">
        <v>9</v>
      </c>
      <c r="B13" s="102">
        <f>SUM(B10:B12)</f>
        <v>192</v>
      </c>
      <c r="C13" s="102">
        <f>SUM(C10:C12)</f>
        <v>160</v>
      </c>
      <c r="D13" s="102">
        <f t="shared" ref="D13:G13" si="0">SUM(D10:D12)</f>
        <v>128</v>
      </c>
      <c r="E13" s="102">
        <f t="shared" si="0"/>
        <v>96</v>
      </c>
      <c r="F13" s="102">
        <f t="shared" si="0"/>
        <v>64</v>
      </c>
      <c r="G13" s="151">
        <f t="shared" si="0"/>
        <v>32</v>
      </c>
      <c r="H13" s="140">
        <v>224</v>
      </c>
      <c r="I13" s="104">
        <v>192</v>
      </c>
      <c r="J13" s="103">
        <v>160</v>
      </c>
      <c r="K13" s="103">
        <v>224</v>
      </c>
      <c r="L13" s="104">
        <v>192</v>
      </c>
      <c r="M13" s="105">
        <v>160</v>
      </c>
    </row>
    <row r="14" spans="1:13" ht="16.5" customHeight="1" thickBot="1" x14ac:dyDescent="0.3">
      <c r="A14" s="106"/>
      <c r="B14" s="107"/>
      <c r="C14" s="107"/>
      <c r="D14" s="107"/>
      <c r="E14" s="108"/>
      <c r="F14" s="108"/>
      <c r="G14" s="152"/>
      <c r="H14" s="141"/>
      <c r="I14" s="108"/>
      <c r="J14" s="108"/>
      <c r="K14" s="108"/>
      <c r="L14" s="108"/>
      <c r="M14" s="109"/>
    </row>
    <row r="15" spans="1:13" ht="16.5" customHeight="1" thickBot="1" x14ac:dyDescent="0.3">
      <c r="A15" s="60" t="s">
        <v>0</v>
      </c>
      <c r="B15" s="97">
        <v>637.20000000000005</v>
      </c>
      <c r="C15" s="97">
        <v>531</v>
      </c>
      <c r="D15" s="97">
        <v>468</v>
      </c>
      <c r="E15" s="98">
        <v>383.4</v>
      </c>
      <c r="F15" s="98">
        <v>272.16000000000003</v>
      </c>
      <c r="G15" s="153">
        <v>144</v>
      </c>
      <c r="H15" s="99">
        <v>1957.68</v>
      </c>
      <c r="I15" s="99">
        <v>1729.44</v>
      </c>
      <c r="J15" s="99">
        <v>1501.2</v>
      </c>
      <c r="K15" s="99">
        <v>1342.8</v>
      </c>
      <c r="L15" s="99">
        <v>1092.24</v>
      </c>
      <c r="M15" s="100">
        <v>970.2</v>
      </c>
    </row>
    <row r="16" spans="1:13" ht="24" customHeight="1" thickBot="1" x14ac:dyDescent="0.3">
      <c r="A16" s="67" t="s">
        <v>2</v>
      </c>
      <c r="B16" s="68">
        <f t="shared" ref="B16:M16" si="1">B15/B13</f>
        <v>3.3187500000000001</v>
      </c>
      <c r="C16" s="68">
        <f t="shared" si="1"/>
        <v>3.3187500000000001</v>
      </c>
      <c r="D16" s="68">
        <f t="shared" si="1"/>
        <v>3.65625</v>
      </c>
      <c r="E16" s="68">
        <f t="shared" si="1"/>
        <v>3.9937499999999999</v>
      </c>
      <c r="F16" s="68">
        <f t="shared" si="1"/>
        <v>4.2525000000000004</v>
      </c>
      <c r="G16" s="154">
        <f t="shared" si="1"/>
        <v>4.5</v>
      </c>
      <c r="H16" s="69">
        <f t="shared" si="1"/>
        <v>8.7396428571428579</v>
      </c>
      <c r="I16" s="69">
        <f t="shared" si="1"/>
        <v>9.0075000000000003</v>
      </c>
      <c r="J16" s="69">
        <f t="shared" si="1"/>
        <v>9.3825000000000003</v>
      </c>
      <c r="K16" s="69">
        <f t="shared" si="1"/>
        <v>5.9946428571428569</v>
      </c>
      <c r="L16" s="69">
        <f t="shared" si="1"/>
        <v>5.6887499999999998</v>
      </c>
      <c r="M16" s="70">
        <f t="shared" si="1"/>
        <v>6.0637500000000006</v>
      </c>
    </row>
    <row r="17" spans="1:13" ht="16.5" customHeight="1" x14ac:dyDescent="0.25">
      <c r="A17" s="56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2"/>
    </row>
    <row r="18" spans="1:13" ht="16.5" customHeight="1" thickBot="1" x14ac:dyDescent="0.3">
      <c r="A18" s="60"/>
      <c r="B18" s="513" t="s">
        <v>17</v>
      </c>
      <c r="C18" s="513"/>
      <c r="D18" s="513"/>
      <c r="E18" s="513"/>
      <c r="F18" s="513"/>
      <c r="G18" s="513"/>
      <c r="H18" s="513"/>
      <c r="I18" s="513"/>
      <c r="J18" s="513"/>
      <c r="K18" s="513"/>
      <c r="L18" s="513"/>
      <c r="M18" s="514"/>
    </row>
    <row r="19" spans="1:13" ht="16.5" customHeight="1" x14ac:dyDescent="0.25">
      <c r="A19" s="120" t="s">
        <v>11</v>
      </c>
      <c r="B19" s="73">
        <f>$B$15*B10/$B$13</f>
        <v>219.03750000000002</v>
      </c>
      <c r="C19" s="73">
        <f>$C$15*C10/$C$13</f>
        <v>182.53125</v>
      </c>
      <c r="D19" s="73">
        <f>$D$15*D10/$D$13</f>
        <v>160.875</v>
      </c>
      <c r="E19" s="73">
        <f>$E$15*E10/$E$13</f>
        <v>131.79374999999999</v>
      </c>
      <c r="F19" s="73">
        <f>$F$15*F10/$F$13</f>
        <v>93.555000000000007</v>
      </c>
      <c r="G19" s="155">
        <f>$G$15*G10/$G$13</f>
        <v>49.5</v>
      </c>
      <c r="H19" s="73">
        <f>H15/H13*H10</f>
        <v>672.9525000000001</v>
      </c>
      <c r="I19" s="75">
        <f t="shared" ref="I19:M19" si="2">I15/I13*I10</f>
        <v>594.495</v>
      </c>
      <c r="J19" s="73">
        <f t="shared" si="2"/>
        <v>516.03750000000002</v>
      </c>
      <c r="K19" s="75">
        <v>461.58</v>
      </c>
      <c r="L19" s="75">
        <f t="shared" si="2"/>
        <v>375.45749999999998</v>
      </c>
      <c r="M19" s="76">
        <f t="shared" si="2"/>
        <v>333.50625000000002</v>
      </c>
    </row>
    <row r="20" spans="1:13" ht="16.5" customHeight="1" x14ac:dyDescent="0.25">
      <c r="A20" s="121" t="s">
        <v>12</v>
      </c>
      <c r="B20" s="78">
        <v>139.38</v>
      </c>
      <c r="C20" s="78">
        <f t="shared" ref="C20" si="3">$C$15*C11/$C$13</f>
        <v>116.15625</v>
      </c>
      <c r="D20" s="78">
        <f t="shared" ref="D20" si="4">$D$15*D11/$D$13</f>
        <v>102.375</v>
      </c>
      <c r="E20" s="78">
        <f t="shared" ref="E20" si="5">$E$15*E11/$E$13</f>
        <v>83.868749999999991</v>
      </c>
      <c r="F20" s="78">
        <f t="shared" ref="F20" si="6">$F$15*F11/$F$13</f>
        <v>59.535000000000004</v>
      </c>
      <c r="G20" s="156">
        <f t="shared" ref="G20" si="7">$G$15*G11/$G$13</f>
        <v>31.5</v>
      </c>
      <c r="H20" s="78">
        <f>H15/H13*H11</f>
        <v>428.24250000000006</v>
      </c>
      <c r="I20" s="80">
        <f t="shared" ref="I20:M20" si="8">I15/I13*I11</f>
        <v>378.315</v>
      </c>
      <c r="J20" s="78">
        <v>328.38</v>
      </c>
      <c r="K20" s="80">
        <f t="shared" si="8"/>
        <v>293.73750000000001</v>
      </c>
      <c r="L20" s="80">
        <v>238.92</v>
      </c>
      <c r="M20" s="81">
        <f t="shared" si="8"/>
        <v>212.23125000000002</v>
      </c>
    </row>
    <row r="21" spans="1:13" ht="16.5" customHeight="1" thickBot="1" x14ac:dyDescent="0.3">
      <c r="A21" s="122" t="s">
        <v>10</v>
      </c>
      <c r="B21" s="82">
        <f>$B$15*B12/$B$13</f>
        <v>278.77500000000003</v>
      </c>
      <c r="C21" s="82">
        <f>$C$15*C12/$C$13</f>
        <v>232.3125</v>
      </c>
      <c r="D21" s="82">
        <f>$D$15*D12/$D$13</f>
        <v>204.75</v>
      </c>
      <c r="E21" s="82">
        <f>$E$15*E12/$E$13</f>
        <v>167.73749999999998</v>
      </c>
      <c r="F21" s="82">
        <v>119.06</v>
      </c>
      <c r="G21" s="157">
        <f>$G$15*G12/$G$13</f>
        <v>63</v>
      </c>
      <c r="H21" s="82">
        <f t="shared" ref="H21:M21" si="9">H15/H13*H12</f>
        <v>856.48500000000013</v>
      </c>
      <c r="I21" s="84">
        <v>756.62</v>
      </c>
      <c r="J21" s="82">
        <f t="shared" si="9"/>
        <v>656.77499999999998</v>
      </c>
      <c r="K21" s="84">
        <f t="shared" si="9"/>
        <v>587.47500000000002</v>
      </c>
      <c r="L21" s="84">
        <f t="shared" si="9"/>
        <v>477.85499999999996</v>
      </c>
      <c r="M21" s="85">
        <f t="shared" si="9"/>
        <v>424.46250000000003</v>
      </c>
    </row>
    <row r="22" spans="1:13" ht="16.5" customHeight="1" thickBot="1" x14ac:dyDescent="0.3">
      <c r="A22" s="123"/>
      <c r="B22" s="97">
        <v>637.20000000000005</v>
      </c>
      <c r="C22" s="97">
        <v>531</v>
      </c>
      <c r="D22" s="97">
        <v>468</v>
      </c>
      <c r="E22" s="98">
        <v>383.4</v>
      </c>
      <c r="F22" s="98">
        <v>272.16000000000003</v>
      </c>
      <c r="G22" s="158">
        <v>144</v>
      </c>
      <c r="H22" s="99">
        <v>1957.68</v>
      </c>
      <c r="I22" s="99">
        <v>1729.44</v>
      </c>
      <c r="J22" s="99">
        <v>1501.2</v>
      </c>
      <c r="K22" s="99">
        <v>1342.8</v>
      </c>
      <c r="L22" s="99">
        <v>1092.24</v>
      </c>
      <c r="M22" s="100">
        <v>970.2</v>
      </c>
    </row>
    <row r="23" spans="1:13" x14ac:dyDescent="0.25">
      <c r="A23" s="56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2"/>
    </row>
    <row r="24" spans="1:13" ht="15.75" thickBot="1" x14ac:dyDescent="0.3">
      <c r="A24" s="512" t="s">
        <v>28</v>
      </c>
      <c r="B24" s="513"/>
      <c r="C24" s="513"/>
      <c r="D24" s="513"/>
      <c r="E24" s="513"/>
      <c r="F24" s="513"/>
      <c r="G24" s="513"/>
      <c r="H24" s="513"/>
      <c r="I24" s="513"/>
      <c r="J24" s="513"/>
      <c r="K24" s="513"/>
      <c r="L24" s="513"/>
      <c r="M24" s="514"/>
    </row>
    <row r="25" spans="1:13" x14ac:dyDescent="0.25">
      <c r="A25" s="120" t="s">
        <v>11</v>
      </c>
      <c r="B25" s="110">
        <f>B19/$B$16</f>
        <v>66</v>
      </c>
      <c r="C25" s="110">
        <f>C19/$C$16</f>
        <v>55</v>
      </c>
      <c r="D25" s="110">
        <f>D19/$D$16</f>
        <v>44</v>
      </c>
      <c r="E25" s="110">
        <f>E19/$E$16</f>
        <v>33</v>
      </c>
      <c r="F25" s="110">
        <f>F19/$F$16</f>
        <v>22</v>
      </c>
      <c r="G25" s="159">
        <f>G19/$G$16</f>
        <v>11</v>
      </c>
      <c r="H25" s="111">
        <v>77</v>
      </c>
      <c r="I25" s="113">
        <v>66</v>
      </c>
      <c r="J25" s="112">
        <v>55</v>
      </c>
      <c r="K25" s="110">
        <v>77</v>
      </c>
      <c r="L25" s="112">
        <v>66</v>
      </c>
      <c r="M25" s="114">
        <v>55</v>
      </c>
    </row>
    <row r="26" spans="1:13" x14ac:dyDescent="0.25">
      <c r="A26" s="121" t="s">
        <v>12</v>
      </c>
      <c r="B26" s="90">
        <f>B20/$B$16</f>
        <v>41.99774011299435</v>
      </c>
      <c r="C26" s="90">
        <f t="shared" ref="C26" si="10">C20/$C$16</f>
        <v>35</v>
      </c>
      <c r="D26" s="90">
        <f t="shared" ref="D26" si="11">D20/$D$16</f>
        <v>28</v>
      </c>
      <c r="E26" s="90">
        <f t="shared" ref="E26" si="12">E20/$E$16</f>
        <v>21</v>
      </c>
      <c r="F26" s="90">
        <f t="shared" ref="F26" si="13">F20/$F$16</f>
        <v>14</v>
      </c>
      <c r="G26" s="160">
        <f t="shared" ref="G26" si="14">G20/$G$16</f>
        <v>7</v>
      </c>
      <c r="H26" s="88">
        <v>49</v>
      </c>
      <c r="I26" s="91">
        <v>42</v>
      </c>
      <c r="J26" s="87">
        <v>35</v>
      </c>
      <c r="K26" s="90">
        <v>49</v>
      </c>
      <c r="L26" s="87">
        <v>42</v>
      </c>
      <c r="M26" s="89">
        <v>35</v>
      </c>
    </row>
    <row r="27" spans="1:13" ht="15.75" thickBot="1" x14ac:dyDescent="0.3">
      <c r="A27" s="133" t="s">
        <v>10</v>
      </c>
      <c r="B27" s="115">
        <f>B21/$B$16</f>
        <v>84.000000000000014</v>
      </c>
      <c r="C27" s="115">
        <f>C21/$C$16</f>
        <v>70</v>
      </c>
      <c r="D27" s="115">
        <f>D21/$D$16</f>
        <v>56</v>
      </c>
      <c r="E27" s="115">
        <f>E21/$E$16</f>
        <v>42</v>
      </c>
      <c r="F27" s="115">
        <f>F21/$F$16</f>
        <v>27.997648442092885</v>
      </c>
      <c r="G27" s="161">
        <f>G21/$G$16</f>
        <v>14</v>
      </c>
      <c r="H27" s="116">
        <v>98</v>
      </c>
      <c r="I27" s="118">
        <v>84</v>
      </c>
      <c r="J27" s="117">
        <v>70</v>
      </c>
      <c r="K27" s="115">
        <v>98</v>
      </c>
      <c r="L27" s="117">
        <v>84</v>
      </c>
      <c r="M27" s="119">
        <v>70</v>
      </c>
    </row>
    <row r="28" spans="1:13" ht="15.75" thickBot="1" x14ac:dyDescent="0.3">
      <c r="A28" s="60"/>
      <c r="B28" s="137">
        <f>B25+B26+B27</f>
        <v>191.99774011299436</v>
      </c>
      <c r="C28" s="137">
        <f t="shared" ref="C28:M28" si="15">C25+C26+C27</f>
        <v>160</v>
      </c>
      <c r="D28" s="137">
        <f t="shared" si="15"/>
        <v>128</v>
      </c>
      <c r="E28" s="137">
        <f t="shared" si="15"/>
        <v>96</v>
      </c>
      <c r="F28" s="137">
        <f t="shared" si="15"/>
        <v>63.997648442092881</v>
      </c>
      <c r="G28" s="162">
        <f t="shared" si="15"/>
        <v>32</v>
      </c>
      <c r="H28" s="137">
        <f t="shared" si="15"/>
        <v>224</v>
      </c>
      <c r="I28" s="137">
        <f t="shared" si="15"/>
        <v>192</v>
      </c>
      <c r="J28" s="137">
        <f t="shared" si="15"/>
        <v>160</v>
      </c>
      <c r="K28" s="137">
        <f t="shared" si="15"/>
        <v>224</v>
      </c>
      <c r="L28" s="137">
        <f t="shared" si="15"/>
        <v>192</v>
      </c>
      <c r="M28" s="138">
        <f t="shared" si="15"/>
        <v>160</v>
      </c>
    </row>
  </sheetData>
  <mergeCells count="3">
    <mergeCell ref="A1:M1"/>
    <mergeCell ref="B18:M18"/>
    <mergeCell ref="A24:M24"/>
  </mergeCells>
  <pageMargins left="0.43307086614173229" right="0.39370078740157483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workbookViewId="0">
      <selection activeCell="O16" sqref="O16"/>
    </sheetView>
  </sheetViews>
  <sheetFormatPr baseColWidth="10" defaultRowHeight="15" x14ac:dyDescent="0.25"/>
  <cols>
    <col min="1" max="1" width="16.5703125" style="1" bestFit="1" customWidth="1"/>
    <col min="2" max="9" width="8" style="1" bestFit="1" customWidth="1"/>
    <col min="10" max="10" width="8" style="1" customWidth="1"/>
    <col min="11" max="13" width="13.7109375" style="1" bestFit="1" customWidth="1"/>
    <col min="14" max="24" width="11.42578125" style="1"/>
    <col min="25" max="16384" width="11.42578125" style="5"/>
  </cols>
  <sheetData>
    <row r="1" spans="1:13" x14ac:dyDescent="0.25">
      <c r="A1" s="507" t="s">
        <v>36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</row>
    <row r="2" spans="1:13" ht="15.75" thickBot="1" x14ac:dyDescent="0.3"/>
    <row r="3" spans="1:13" x14ac:dyDescent="0.25">
      <c r="A3" s="56"/>
      <c r="B3" s="65"/>
      <c r="C3" s="65"/>
      <c r="D3" s="65"/>
      <c r="E3" s="65"/>
      <c r="F3" s="142"/>
      <c r="G3" s="134"/>
      <c r="H3" s="134"/>
      <c r="I3" s="134"/>
      <c r="J3" s="134"/>
      <c r="K3" s="134"/>
      <c r="L3" s="134"/>
      <c r="M3" s="66"/>
    </row>
    <row r="4" spans="1:13" x14ac:dyDescent="0.25">
      <c r="A4" s="57" t="s">
        <v>13</v>
      </c>
      <c r="B4" s="7">
        <v>36</v>
      </c>
      <c r="C4" s="7">
        <v>36</v>
      </c>
      <c r="D4" s="7">
        <v>36</v>
      </c>
      <c r="E4" s="7">
        <v>36</v>
      </c>
      <c r="F4" s="144">
        <v>36</v>
      </c>
      <c r="G4" s="7">
        <v>36</v>
      </c>
      <c r="H4" s="7">
        <v>36</v>
      </c>
      <c r="I4" s="7">
        <v>36</v>
      </c>
      <c r="J4" s="7">
        <v>36</v>
      </c>
      <c r="K4" s="7">
        <v>36</v>
      </c>
      <c r="L4" s="7">
        <v>36</v>
      </c>
      <c r="M4" s="59">
        <v>36</v>
      </c>
    </row>
    <row r="5" spans="1:13" x14ac:dyDescent="0.25">
      <c r="A5" s="57" t="s">
        <v>9</v>
      </c>
      <c r="B5" s="9">
        <f>B4*5</f>
        <v>180</v>
      </c>
      <c r="C5" s="9">
        <f>C4*4</f>
        <v>144</v>
      </c>
      <c r="D5" s="7">
        <f>D4*3</f>
        <v>108</v>
      </c>
      <c r="E5" s="9">
        <f>E4*2</f>
        <v>72</v>
      </c>
      <c r="F5" s="144">
        <f>F4*1</f>
        <v>36</v>
      </c>
      <c r="G5" s="10">
        <v>252</v>
      </c>
      <c r="H5" s="7">
        <f>H4*6</f>
        <v>216</v>
      </c>
      <c r="I5" s="9">
        <f>I4*5</f>
        <v>180</v>
      </c>
      <c r="J5" s="10">
        <v>180</v>
      </c>
      <c r="K5" s="10">
        <v>252</v>
      </c>
      <c r="L5" s="7">
        <f>L4*6</f>
        <v>216</v>
      </c>
      <c r="M5" s="59">
        <f>M4*5</f>
        <v>180</v>
      </c>
    </row>
    <row r="6" spans="1:13" ht="15.75" thickBot="1" x14ac:dyDescent="0.3">
      <c r="A6" s="57"/>
      <c r="B6" s="7"/>
      <c r="C6" s="7"/>
      <c r="D6" s="7"/>
      <c r="E6" s="7"/>
      <c r="F6" s="143"/>
      <c r="G6" s="8"/>
      <c r="H6" s="8"/>
      <c r="I6" s="8"/>
      <c r="J6" s="8"/>
      <c r="K6" s="8"/>
      <c r="L6" s="8"/>
      <c r="M6" s="58"/>
    </row>
    <row r="7" spans="1:13" ht="16.5" customHeight="1" x14ac:dyDescent="0.25">
      <c r="A7" s="124"/>
      <c r="B7" s="125" t="s">
        <v>3</v>
      </c>
      <c r="C7" s="125" t="s">
        <v>4</v>
      </c>
      <c r="D7" s="125" t="s">
        <v>5</v>
      </c>
      <c r="E7" s="125" t="s">
        <v>6</v>
      </c>
      <c r="F7" s="145" t="s">
        <v>7</v>
      </c>
      <c r="G7" s="126" t="s">
        <v>33</v>
      </c>
      <c r="H7" s="126" t="s">
        <v>32</v>
      </c>
      <c r="I7" s="126" t="s">
        <v>31</v>
      </c>
      <c r="J7" s="126" t="s">
        <v>40</v>
      </c>
      <c r="K7" s="126" t="s">
        <v>30</v>
      </c>
      <c r="L7" s="126" t="s">
        <v>29</v>
      </c>
      <c r="M7" s="127" t="s">
        <v>34</v>
      </c>
    </row>
    <row r="8" spans="1:13" ht="16.5" customHeight="1" thickBot="1" x14ac:dyDescent="0.3">
      <c r="A8" s="128"/>
      <c r="B8" s="129"/>
      <c r="C8" s="129"/>
      <c r="D8" s="129"/>
      <c r="E8" s="129"/>
      <c r="F8" s="146"/>
      <c r="G8" s="130"/>
      <c r="H8" s="130"/>
      <c r="I8" s="130"/>
      <c r="J8" s="171"/>
      <c r="K8" s="515" t="s">
        <v>39</v>
      </c>
      <c r="L8" s="516"/>
      <c r="M8" s="517"/>
    </row>
    <row r="9" spans="1:13" ht="16.5" customHeight="1" thickBot="1" x14ac:dyDescent="0.3">
      <c r="A9" s="57"/>
      <c r="B9" s="132" t="s">
        <v>1</v>
      </c>
      <c r="C9" s="132" t="s">
        <v>1</v>
      </c>
      <c r="D9" s="132" t="s">
        <v>1</v>
      </c>
      <c r="E9" s="132" t="s">
        <v>1</v>
      </c>
      <c r="F9" s="147" t="s">
        <v>1</v>
      </c>
      <c r="G9" s="139" t="s">
        <v>1</v>
      </c>
      <c r="H9" s="132" t="s">
        <v>1</v>
      </c>
      <c r="I9" s="132" t="s">
        <v>1</v>
      </c>
      <c r="J9" s="132" t="s">
        <v>1</v>
      </c>
      <c r="K9" s="132" t="s">
        <v>1</v>
      </c>
      <c r="L9" s="132" t="s">
        <v>1</v>
      </c>
      <c r="M9" s="136" t="s">
        <v>1</v>
      </c>
    </row>
    <row r="10" spans="1:13" ht="16.5" customHeight="1" thickBot="1" x14ac:dyDescent="0.3">
      <c r="A10" s="61" t="s">
        <v>37</v>
      </c>
      <c r="B10" s="62">
        <v>65</v>
      </c>
      <c r="C10" s="62">
        <v>52</v>
      </c>
      <c r="D10" s="62">
        <v>39</v>
      </c>
      <c r="E10" s="62">
        <v>26</v>
      </c>
      <c r="F10" s="148">
        <v>13</v>
      </c>
      <c r="G10" s="63">
        <v>91</v>
      </c>
      <c r="H10" s="63">
        <v>78</v>
      </c>
      <c r="I10" s="63">
        <v>65</v>
      </c>
      <c r="J10" s="63">
        <v>65</v>
      </c>
      <c r="K10" s="63">
        <v>77</v>
      </c>
      <c r="L10" s="63">
        <v>66</v>
      </c>
      <c r="M10" s="64">
        <v>55</v>
      </c>
    </row>
    <row r="11" spans="1:13" ht="16.5" customHeight="1" thickBot="1" x14ac:dyDescent="0.3">
      <c r="A11" s="77" t="s">
        <v>38</v>
      </c>
      <c r="B11" s="87">
        <v>45</v>
      </c>
      <c r="C11" s="87">
        <v>36</v>
      </c>
      <c r="D11" s="87">
        <v>27</v>
      </c>
      <c r="E11" s="87">
        <v>18</v>
      </c>
      <c r="F11" s="149">
        <v>9</v>
      </c>
      <c r="G11" s="88">
        <v>63</v>
      </c>
      <c r="H11" s="88">
        <v>54</v>
      </c>
      <c r="I11" s="88">
        <v>45</v>
      </c>
      <c r="J11" s="88">
        <v>45</v>
      </c>
      <c r="K11" s="88">
        <v>49</v>
      </c>
      <c r="L11" s="88">
        <v>42</v>
      </c>
      <c r="M11" s="89">
        <v>35</v>
      </c>
    </row>
    <row r="12" spans="1:13" ht="16.5" customHeight="1" thickBot="1" x14ac:dyDescent="0.3">
      <c r="A12" s="92" t="s">
        <v>16</v>
      </c>
      <c r="B12" s="94">
        <f>14*5</f>
        <v>70</v>
      </c>
      <c r="C12" s="94">
        <f>14*4</f>
        <v>56</v>
      </c>
      <c r="D12" s="94">
        <f>14*3</f>
        <v>42</v>
      </c>
      <c r="E12" s="94">
        <f>14*2</f>
        <v>28</v>
      </c>
      <c r="F12" s="150">
        <f>14</f>
        <v>14</v>
      </c>
      <c r="G12" s="95">
        <v>98</v>
      </c>
      <c r="H12" s="95">
        <v>84</v>
      </c>
      <c r="I12" s="95">
        <v>70</v>
      </c>
      <c r="J12" s="95">
        <v>70</v>
      </c>
      <c r="K12" s="95">
        <v>98</v>
      </c>
      <c r="L12" s="95">
        <v>84</v>
      </c>
      <c r="M12" s="96">
        <v>70</v>
      </c>
    </row>
    <row r="13" spans="1:13" ht="16.5" customHeight="1" thickBot="1" x14ac:dyDescent="0.3">
      <c r="A13" s="101" t="s">
        <v>9</v>
      </c>
      <c r="B13" s="102">
        <f>SUM(B10:B12)</f>
        <v>180</v>
      </c>
      <c r="C13" s="102">
        <f t="shared" ref="C13:F13" si="0">SUM(C10:C12)</f>
        <v>144</v>
      </c>
      <c r="D13" s="102">
        <f t="shared" si="0"/>
        <v>108</v>
      </c>
      <c r="E13" s="102">
        <f t="shared" si="0"/>
        <v>72</v>
      </c>
      <c r="F13" s="151">
        <f t="shared" si="0"/>
        <v>36</v>
      </c>
      <c r="G13" s="140">
        <f>SUM(G10:G12)</f>
        <v>252</v>
      </c>
      <c r="H13" s="140">
        <f>SUM(H10:H12)</f>
        <v>216</v>
      </c>
      <c r="I13" s="140">
        <f t="shared" ref="I13:M13" si="1">SUM(I10:I12)</f>
        <v>180</v>
      </c>
      <c r="J13" s="140">
        <v>180</v>
      </c>
      <c r="K13" s="140">
        <f t="shared" si="1"/>
        <v>224</v>
      </c>
      <c r="L13" s="140">
        <f t="shared" si="1"/>
        <v>192</v>
      </c>
      <c r="M13" s="109">
        <f t="shared" si="1"/>
        <v>160</v>
      </c>
    </row>
    <row r="14" spans="1:13" ht="16.5" customHeight="1" thickBot="1" x14ac:dyDescent="0.3">
      <c r="A14" s="106"/>
      <c r="B14" s="107"/>
      <c r="C14" s="107"/>
      <c r="D14" s="108"/>
      <c r="E14" s="108"/>
      <c r="F14" s="152"/>
      <c r="G14" s="141"/>
      <c r="H14" s="108"/>
      <c r="I14" s="108"/>
      <c r="J14" s="108"/>
      <c r="K14" s="108"/>
      <c r="L14" s="108"/>
      <c r="M14" s="109"/>
    </row>
    <row r="15" spans="1:13" ht="16.5" customHeight="1" thickBot="1" x14ac:dyDescent="0.3">
      <c r="A15" s="60" t="s">
        <v>0</v>
      </c>
      <c r="B15" s="97">
        <v>563.4</v>
      </c>
      <c r="C15" s="97">
        <v>489.6</v>
      </c>
      <c r="D15" s="98">
        <v>396.36</v>
      </c>
      <c r="E15" s="98">
        <v>280.8</v>
      </c>
      <c r="F15" s="153">
        <v>148.32</v>
      </c>
      <c r="G15" s="99">
        <v>1968.48</v>
      </c>
      <c r="H15" s="99">
        <v>1918.08</v>
      </c>
      <c r="I15" s="172">
        <v>1598.4</v>
      </c>
      <c r="J15" s="172">
        <v>1548</v>
      </c>
      <c r="K15" s="172">
        <v>1000.8</v>
      </c>
      <c r="L15" s="172">
        <v>950.4</v>
      </c>
      <c r="M15" s="173">
        <v>900</v>
      </c>
    </row>
    <row r="16" spans="1:13" ht="24" customHeight="1" thickBot="1" x14ac:dyDescent="0.3">
      <c r="A16" s="67" t="s">
        <v>2</v>
      </c>
      <c r="B16" s="68">
        <f t="shared" ref="B16:M16" si="2">B15/B13</f>
        <v>3.13</v>
      </c>
      <c r="C16" s="68">
        <f t="shared" si="2"/>
        <v>3.4000000000000004</v>
      </c>
      <c r="D16" s="68">
        <f t="shared" si="2"/>
        <v>3.67</v>
      </c>
      <c r="E16" s="68">
        <f t="shared" si="2"/>
        <v>3.9000000000000004</v>
      </c>
      <c r="F16" s="154">
        <f t="shared" si="2"/>
        <v>4.12</v>
      </c>
      <c r="G16" s="69">
        <v>10.93</v>
      </c>
      <c r="H16" s="69">
        <v>9.5299999999999994</v>
      </c>
      <c r="I16" s="69">
        <v>8.1300000000000008</v>
      </c>
      <c r="J16" s="69">
        <v>8.1300000000000008</v>
      </c>
      <c r="K16" s="69">
        <f t="shared" si="2"/>
        <v>4.4678571428571425</v>
      </c>
      <c r="L16" s="69">
        <f t="shared" si="2"/>
        <v>4.95</v>
      </c>
      <c r="M16" s="70">
        <f t="shared" si="2"/>
        <v>5.625</v>
      </c>
    </row>
    <row r="17" spans="1:13" ht="16.5" customHeight="1" x14ac:dyDescent="0.25">
      <c r="A17" s="56" t="s">
        <v>41</v>
      </c>
      <c r="B17" s="71"/>
      <c r="C17" s="71"/>
      <c r="D17" s="71"/>
      <c r="E17" s="71"/>
      <c r="F17" s="170">
        <v>4.8</v>
      </c>
      <c r="G17" s="71"/>
      <c r="H17" s="71"/>
      <c r="I17" s="71"/>
      <c r="J17" s="170">
        <v>7</v>
      </c>
      <c r="K17" s="71"/>
      <c r="L17" s="71"/>
      <c r="M17" s="72"/>
    </row>
    <row r="18" spans="1:13" ht="16.5" customHeight="1" thickBot="1" x14ac:dyDescent="0.3">
      <c r="A18" s="60"/>
      <c r="B18" s="513"/>
      <c r="C18" s="513"/>
      <c r="D18" s="513"/>
      <c r="E18" s="513"/>
      <c r="F18" s="513"/>
      <c r="G18" s="513"/>
      <c r="H18" s="513"/>
      <c r="I18" s="513"/>
      <c r="J18" s="513"/>
      <c r="K18" s="513"/>
      <c r="L18" s="513"/>
      <c r="M18" s="514"/>
    </row>
    <row r="19" spans="1:13" ht="16.5" customHeight="1" x14ac:dyDescent="0.25">
      <c r="A19" s="120" t="s">
        <v>11</v>
      </c>
      <c r="B19" s="176">
        <f>$B$15*B10/$B$13</f>
        <v>203.45</v>
      </c>
      <c r="C19" s="73">
        <f>$C$15*C10/$C$13</f>
        <v>176.8</v>
      </c>
      <c r="D19" s="73">
        <f>$D$15*D10/$D$13</f>
        <v>143.13</v>
      </c>
      <c r="E19" s="73">
        <f>$E$15*E10/$E$13</f>
        <v>101.4</v>
      </c>
      <c r="F19" s="155">
        <f>$F$15*F10/$F$13</f>
        <v>53.559999999999995</v>
      </c>
      <c r="G19" s="73">
        <f>G15/G13*G10</f>
        <v>710.84</v>
      </c>
      <c r="H19" s="73">
        <f t="shared" ref="H19:M19" si="3">H15/H13*H10</f>
        <v>692.63999999999987</v>
      </c>
      <c r="I19" s="73">
        <f t="shared" si="3"/>
        <v>577.20000000000005</v>
      </c>
      <c r="J19" s="73">
        <f t="shared" si="3"/>
        <v>559</v>
      </c>
      <c r="K19" s="73">
        <f t="shared" si="3"/>
        <v>344.02499999999998</v>
      </c>
      <c r="L19" s="73">
        <f t="shared" si="3"/>
        <v>326.7</v>
      </c>
      <c r="M19" s="177">
        <f t="shared" si="3"/>
        <v>309.375</v>
      </c>
    </row>
    <row r="20" spans="1:13" ht="16.5" customHeight="1" x14ac:dyDescent="0.25">
      <c r="A20" s="121" t="s">
        <v>12</v>
      </c>
      <c r="B20" s="178">
        <f t="shared" ref="B20" si="4">$B$15*B11/$B$13</f>
        <v>140.85</v>
      </c>
      <c r="C20" s="78">
        <f t="shared" ref="C20" si="5">$C$15*C11/$C$13</f>
        <v>122.40000000000002</v>
      </c>
      <c r="D20" s="78">
        <f t="shared" ref="D20" si="6">$D$15*D11/$D$13</f>
        <v>99.090000000000018</v>
      </c>
      <c r="E20" s="78">
        <f t="shared" ref="E20" si="7">$E$15*E11/$E$13</f>
        <v>70.2</v>
      </c>
      <c r="F20" s="156">
        <f t="shared" ref="F20" si="8">$F$15*F11/$F$13</f>
        <v>37.08</v>
      </c>
      <c r="G20" s="78">
        <f>G15/G13*G11</f>
        <v>492.12</v>
      </c>
      <c r="H20" s="78">
        <f t="shared" ref="H20:M20" si="9">H15/H13*H11</f>
        <v>479.51999999999992</v>
      </c>
      <c r="I20" s="78">
        <f t="shared" si="9"/>
        <v>399.6</v>
      </c>
      <c r="J20" s="78">
        <f t="shared" si="9"/>
        <v>387</v>
      </c>
      <c r="K20" s="78">
        <f t="shared" si="9"/>
        <v>218.92499999999998</v>
      </c>
      <c r="L20" s="78">
        <f t="shared" si="9"/>
        <v>207.9</v>
      </c>
      <c r="M20" s="179">
        <f t="shared" si="9"/>
        <v>196.875</v>
      </c>
    </row>
    <row r="21" spans="1:13" ht="16.5" customHeight="1" thickBot="1" x14ac:dyDescent="0.3">
      <c r="A21" s="122" t="s">
        <v>10</v>
      </c>
      <c r="B21" s="180">
        <f>$B$15*B12/$B$13</f>
        <v>219.1</v>
      </c>
      <c r="C21" s="82">
        <f>$C$15*C12/$C$13</f>
        <v>190.4</v>
      </c>
      <c r="D21" s="82">
        <f>$D$15*D12/$D$13</f>
        <v>154.13999999999999</v>
      </c>
      <c r="E21" s="82">
        <v>109.2</v>
      </c>
      <c r="F21" s="157">
        <f>$F$15*F12/$F$13</f>
        <v>57.68</v>
      </c>
      <c r="G21" s="82">
        <f t="shared" ref="G21:M21" si="10">G15/G13*G12</f>
        <v>765.52</v>
      </c>
      <c r="H21" s="82">
        <f t="shared" si="10"/>
        <v>745.92</v>
      </c>
      <c r="I21" s="82">
        <f t="shared" si="10"/>
        <v>621.6</v>
      </c>
      <c r="J21" s="82">
        <f t="shared" si="10"/>
        <v>602</v>
      </c>
      <c r="K21" s="82">
        <f t="shared" si="10"/>
        <v>437.84999999999997</v>
      </c>
      <c r="L21" s="82">
        <f t="shared" si="10"/>
        <v>415.8</v>
      </c>
      <c r="M21" s="181">
        <f t="shared" si="10"/>
        <v>393.75</v>
      </c>
    </row>
    <row r="22" spans="1:13" ht="16.5" customHeight="1" thickBot="1" x14ac:dyDescent="0.3">
      <c r="A22" s="123"/>
      <c r="B22" s="182">
        <f>SUM(B19:B21)</f>
        <v>563.4</v>
      </c>
      <c r="C22" s="97">
        <f t="shared" ref="C22:G22" si="11">SUM(C19:C21)</f>
        <v>489.6</v>
      </c>
      <c r="D22" s="97">
        <f t="shared" si="11"/>
        <v>396.36</v>
      </c>
      <c r="E22" s="97">
        <f t="shared" si="11"/>
        <v>280.8</v>
      </c>
      <c r="F22" s="97">
        <f t="shared" si="11"/>
        <v>148.32</v>
      </c>
      <c r="G22" s="97">
        <f t="shared" si="11"/>
        <v>1968.48</v>
      </c>
      <c r="H22" s="97">
        <f t="shared" ref="H22" si="12">SUM(H19:H21)</f>
        <v>1918.08</v>
      </c>
      <c r="I22" s="97">
        <f t="shared" ref="I22" si="13">SUM(I19:I21)</f>
        <v>1598.4</v>
      </c>
      <c r="J22" s="97">
        <f t="shared" ref="J22" si="14">SUM(J19:J21)</f>
        <v>1548</v>
      </c>
      <c r="K22" s="97">
        <f t="shared" ref="K22" si="15">SUM(K19:K21)</f>
        <v>1000.8</v>
      </c>
      <c r="L22" s="97">
        <f t="shared" ref="L22" si="16">SUM(L19:L21)</f>
        <v>950.40000000000009</v>
      </c>
      <c r="M22" s="173">
        <f t="shared" ref="M22" si="17">SUM(M19:M21)</f>
        <v>900</v>
      </c>
    </row>
    <row r="23" spans="1:13" x14ac:dyDescent="0.25">
      <c r="A23" s="56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</row>
  </sheetData>
  <mergeCells count="3">
    <mergeCell ref="A1:M1"/>
    <mergeCell ref="B18:M18"/>
    <mergeCell ref="K8:M8"/>
  </mergeCells>
  <pageMargins left="0.43307086614173229" right="0.39370078740157483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workbookViewId="0">
      <selection activeCell="L27" sqref="L27"/>
    </sheetView>
  </sheetViews>
  <sheetFormatPr baseColWidth="10" defaultRowHeight="15" x14ac:dyDescent="0.25"/>
  <cols>
    <col min="1" max="1" width="16.5703125" style="1" bestFit="1" customWidth="1"/>
    <col min="2" max="9" width="8" style="1" bestFit="1" customWidth="1"/>
    <col min="10" max="11" width="8" style="1" customWidth="1"/>
    <col min="12" max="14" width="13.7109375" style="1" bestFit="1" customWidth="1"/>
    <col min="15" max="25" width="11.42578125" style="1"/>
    <col min="26" max="16384" width="11.42578125" style="5"/>
  </cols>
  <sheetData>
    <row r="1" spans="1:14" x14ac:dyDescent="0.25">
      <c r="A1" s="507" t="s">
        <v>42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</row>
    <row r="2" spans="1:14" ht="15.75" thickBot="1" x14ac:dyDescent="0.3"/>
    <row r="3" spans="1:14" x14ac:dyDescent="0.25">
      <c r="A3" s="56"/>
      <c r="B3" s="65"/>
      <c r="C3" s="65"/>
      <c r="D3" s="65"/>
      <c r="E3" s="65"/>
      <c r="F3" s="142"/>
      <c r="G3" s="134"/>
      <c r="H3" s="134"/>
      <c r="I3" s="134"/>
      <c r="J3" s="134"/>
      <c r="K3" s="134"/>
      <c r="L3" s="134"/>
      <c r="M3" s="134"/>
      <c r="N3" s="66"/>
    </row>
    <row r="4" spans="1:14" x14ac:dyDescent="0.25">
      <c r="A4" s="57" t="s">
        <v>43</v>
      </c>
      <c r="B4" s="7">
        <v>36</v>
      </c>
      <c r="C4" s="7">
        <v>36</v>
      </c>
      <c r="D4" s="7">
        <v>36</v>
      </c>
      <c r="E4" s="7">
        <v>36</v>
      </c>
      <c r="F4" s="144">
        <v>36</v>
      </c>
      <c r="G4" s="7">
        <v>36</v>
      </c>
      <c r="H4" s="7">
        <v>36</v>
      </c>
      <c r="I4" s="7">
        <v>36</v>
      </c>
      <c r="J4" s="7">
        <v>36</v>
      </c>
      <c r="K4" s="7">
        <v>36</v>
      </c>
      <c r="L4" s="7">
        <v>36</v>
      </c>
      <c r="M4" s="7">
        <v>36</v>
      </c>
      <c r="N4" s="59">
        <v>36</v>
      </c>
    </row>
    <row r="5" spans="1:14" x14ac:dyDescent="0.25">
      <c r="A5" s="57" t="s">
        <v>9</v>
      </c>
      <c r="B5" s="9">
        <f>B4*5</f>
        <v>180</v>
      </c>
      <c r="C5" s="9">
        <f>C4*4</f>
        <v>144</v>
      </c>
      <c r="D5" s="7">
        <f>D4*3</f>
        <v>108</v>
      </c>
      <c r="E5" s="9">
        <f>E4*2</f>
        <v>72</v>
      </c>
      <c r="F5" s="144">
        <f>F4*1</f>
        <v>36</v>
      </c>
      <c r="G5" s="10">
        <v>252</v>
      </c>
      <c r="H5" s="7">
        <f>H4*6</f>
        <v>216</v>
      </c>
      <c r="I5" s="9">
        <f>I4*5</f>
        <v>180</v>
      </c>
      <c r="J5" s="10">
        <v>144</v>
      </c>
      <c r="K5" s="10">
        <v>180</v>
      </c>
      <c r="L5" s="10">
        <v>252</v>
      </c>
      <c r="M5" s="7">
        <f>M4*6</f>
        <v>216</v>
      </c>
      <c r="N5" s="59">
        <f>N4*5</f>
        <v>180</v>
      </c>
    </row>
    <row r="6" spans="1:14" ht="15.75" thickBot="1" x14ac:dyDescent="0.3">
      <c r="A6" s="57"/>
      <c r="B6" s="7"/>
      <c r="C6" s="7"/>
      <c r="D6" s="7"/>
      <c r="E6" s="7"/>
      <c r="F6" s="143"/>
      <c r="G6" s="8"/>
      <c r="H6" s="8"/>
      <c r="I6" s="8"/>
      <c r="J6" s="8"/>
      <c r="K6" s="8"/>
      <c r="L6" s="8"/>
      <c r="M6" s="8"/>
      <c r="N6" s="58"/>
    </row>
    <row r="7" spans="1:14" ht="16.5" customHeight="1" x14ac:dyDescent="0.25">
      <c r="A7" s="124"/>
      <c r="B7" s="125" t="s">
        <v>3</v>
      </c>
      <c r="C7" s="125" t="s">
        <v>4</v>
      </c>
      <c r="D7" s="125" t="s">
        <v>5</v>
      </c>
      <c r="E7" s="125" t="s">
        <v>6</v>
      </c>
      <c r="F7" s="145" t="s">
        <v>7</v>
      </c>
      <c r="G7" s="126" t="s">
        <v>33</v>
      </c>
      <c r="H7" s="126" t="s">
        <v>32</v>
      </c>
      <c r="I7" s="126" t="s">
        <v>31</v>
      </c>
      <c r="J7" s="126" t="s">
        <v>40</v>
      </c>
      <c r="K7" s="126" t="s">
        <v>48</v>
      </c>
      <c r="L7" s="126" t="s">
        <v>30</v>
      </c>
      <c r="M7" s="126" t="s">
        <v>29</v>
      </c>
      <c r="N7" s="127" t="s">
        <v>34</v>
      </c>
    </row>
    <row r="8" spans="1:14" ht="16.5" customHeight="1" thickBot="1" x14ac:dyDescent="0.3">
      <c r="A8" s="128"/>
      <c r="B8" s="129"/>
      <c r="C8" s="129"/>
      <c r="D8" s="129"/>
      <c r="E8" s="129"/>
      <c r="F8" s="146"/>
      <c r="G8" s="130"/>
      <c r="H8" s="130"/>
      <c r="I8" s="130"/>
      <c r="J8" s="175"/>
      <c r="K8" s="183" t="s">
        <v>49</v>
      </c>
      <c r="L8" s="515" t="s">
        <v>39</v>
      </c>
      <c r="M8" s="516"/>
      <c r="N8" s="517"/>
    </row>
    <row r="9" spans="1:14" ht="16.5" customHeight="1" thickBot="1" x14ac:dyDescent="0.3">
      <c r="A9" s="57"/>
      <c r="B9" s="132" t="s">
        <v>1</v>
      </c>
      <c r="C9" s="132" t="s">
        <v>1</v>
      </c>
      <c r="D9" s="132" t="s">
        <v>1</v>
      </c>
      <c r="E9" s="132" t="s">
        <v>1</v>
      </c>
      <c r="F9" s="147" t="s">
        <v>1</v>
      </c>
      <c r="G9" s="139" t="s">
        <v>1</v>
      </c>
      <c r="H9" s="132" t="s">
        <v>1</v>
      </c>
      <c r="I9" s="132" t="s">
        <v>1</v>
      </c>
      <c r="J9" s="132" t="s">
        <v>1</v>
      </c>
      <c r="K9" s="187" t="s">
        <v>50</v>
      </c>
      <c r="L9" s="132" t="s">
        <v>1</v>
      </c>
      <c r="M9" s="132" t="s">
        <v>1</v>
      </c>
      <c r="N9" s="136" t="s">
        <v>1</v>
      </c>
    </row>
    <row r="10" spans="1:14" ht="16.5" customHeight="1" thickBot="1" x14ac:dyDescent="0.3">
      <c r="A10" s="61" t="s">
        <v>25</v>
      </c>
      <c r="B10" s="62">
        <v>55</v>
      </c>
      <c r="C10" s="62">
        <v>44</v>
      </c>
      <c r="D10" s="62">
        <v>33</v>
      </c>
      <c r="E10" s="62">
        <v>22</v>
      </c>
      <c r="F10" s="148">
        <v>11</v>
      </c>
      <c r="G10" s="63">
        <v>77</v>
      </c>
      <c r="H10" s="63">
        <v>66</v>
      </c>
      <c r="I10" s="63">
        <v>55</v>
      </c>
      <c r="J10" s="63">
        <v>44</v>
      </c>
      <c r="K10" s="63">
        <v>110</v>
      </c>
      <c r="L10" s="63">
        <v>77</v>
      </c>
      <c r="M10" s="63">
        <v>66</v>
      </c>
      <c r="N10" s="64">
        <v>55</v>
      </c>
    </row>
    <row r="11" spans="1:14" ht="16.5" customHeight="1" thickBot="1" x14ac:dyDescent="0.3">
      <c r="A11" s="77" t="s">
        <v>47</v>
      </c>
      <c r="B11" s="87">
        <v>55</v>
      </c>
      <c r="C11" s="87">
        <v>44</v>
      </c>
      <c r="D11" s="87">
        <v>33</v>
      </c>
      <c r="E11" s="87">
        <v>22</v>
      </c>
      <c r="F11" s="149">
        <v>11</v>
      </c>
      <c r="G11" s="88">
        <v>77</v>
      </c>
      <c r="H11" s="88">
        <v>66</v>
      </c>
      <c r="I11" s="88">
        <v>55</v>
      </c>
      <c r="J11" s="88">
        <v>44</v>
      </c>
      <c r="K11" s="88">
        <v>110</v>
      </c>
      <c r="L11" s="88">
        <v>77</v>
      </c>
      <c r="M11" s="88">
        <v>66</v>
      </c>
      <c r="N11" s="89">
        <v>55</v>
      </c>
    </row>
    <row r="12" spans="1:14" ht="16.5" customHeight="1" thickBot="1" x14ac:dyDescent="0.3">
      <c r="A12" s="92" t="s">
        <v>16</v>
      </c>
      <c r="B12" s="94">
        <f>14*5</f>
        <v>70</v>
      </c>
      <c r="C12" s="94">
        <f>14*4</f>
        <v>56</v>
      </c>
      <c r="D12" s="94">
        <f>14*3</f>
        <v>42</v>
      </c>
      <c r="E12" s="94">
        <f>14*2</f>
        <v>28</v>
      </c>
      <c r="F12" s="150">
        <f>14</f>
        <v>14</v>
      </c>
      <c r="G12" s="95">
        <v>98</v>
      </c>
      <c r="H12" s="95">
        <v>84</v>
      </c>
      <c r="I12" s="95">
        <v>70</v>
      </c>
      <c r="J12" s="95">
        <v>56</v>
      </c>
      <c r="K12" s="95">
        <v>140</v>
      </c>
      <c r="L12" s="95">
        <v>98</v>
      </c>
      <c r="M12" s="95">
        <v>84</v>
      </c>
      <c r="N12" s="96">
        <v>70</v>
      </c>
    </row>
    <row r="13" spans="1:14" ht="16.5" customHeight="1" thickBot="1" x14ac:dyDescent="0.3">
      <c r="A13" s="101" t="s">
        <v>9</v>
      </c>
      <c r="B13" s="102">
        <f>SUM(B10:B12)</f>
        <v>180</v>
      </c>
      <c r="C13" s="102">
        <f t="shared" ref="C13:F13" si="0">SUM(C10:C12)</f>
        <v>144</v>
      </c>
      <c r="D13" s="102">
        <f t="shared" si="0"/>
        <v>108</v>
      </c>
      <c r="E13" s="102">
        <f t="shared" si="0"/>
        <v>72</v>
      </c>
      <c r="F13" s="151">
        <f t="shared" si="0"/>
        <v>36</v>
      </c>
      <c r="G13" s="140">
        <f>SUM(G10:G12)</f>
        <v>252</v>
      </c>
      <c r="H13" s="140">
        <f>SUM(H10:H12)</f>
        <v>216</v>
      </c>
      <c r="I13" s="140">
        <f t="shared" ref="I13:N13" si="1">SUM(I10:I12)</f>
        <v>180</v>
      </c>
      <c r="J13" s="140">
        <f>SUM(J10:J12)</f>
        <v>144</v>
      </c>
      <c r="K13" s="140">
        <v>180</v>
      </c>
      <c r="L13" s="140">
        <f t="shared" si="1"/>
        <v>252</v>
      </c>
      <c r="M13" s="140">
        <f t="shared" si="1"/>
        <v>216</v>
      </c>
      <c r="N13" s="109">
        <f t="shared" si="1"/>
        <v>180</v>
      </c>
    </row>
    <row r="14" spans="1:14" ht="16.5" customHeight="1" thickBot="1" x14ac:dyDescent="0.3">
      <c r="A14" s="106"/>
      <c r="B14" s="107"/>
      <c r="C14" s="107"/>
      <c r="D14" s="108"/>
      <c r="E14" s="108"/>
      <c r="F14" s="152"/>
      <c r="G14" s="141"/>
      <c r="H14" s="108"/>
      <c r="I14" s="108"/>
      <c r="J14" s="108"/>
      <c r="K14" s="108"/>
      <c r="L14" s="108"/>
      <c r="M14" s="108"/>
      <c r="N14" s="109"/>
    </row>
    <row r="15" spans="1:14" ht="16.5" customHeight="1" thickBot="1" x14ac:dyDescent="0.3">
      <c r="A15" s="60" t="s">
        <v>0</v>
      </c>
      <c r="B15" s="97">
        <v>594</v>
      </c>
      <c r="C15" s="97">
        <v>511.2</v>
      </c>
      <c r="D15" s="98">
        <v>410.4</v>
      </c>
      <c r="E15" s="98">
        <v>288.72000000000003</v>
      </c>
      <c r="F15" s="153">
        <v>152.28</v>
      </c>
      <c r="G15" s="99">
        <v>1968.48</v>
      </c>
      <c r="H15" s="99">
        <v>1918.08</v>
      </c>
      <c r="I15" s="172">
        <v>1598.4</v>
      </c>
      <c r="J15" s="172">
        <v>1548</v>
      </c>
      <c r="K15" s="172">
        <v>1188</v>
      </c>
      <c r="L15" s="172">
        <v>1309.1400000000001</v>
      </c>
      <c r="M15" s="172">
        <v>1122.1199999999999</v>
      </c>
      <c r="N15" s="173">
        <v>935.1</v>
      </c>
    </row>
    <row r="16" spans="1:14" ht="24" customHeight="1" thickBot="1" x14ac:dyDescent="0.3">
      <c r="A16" s="67" t="s">
        <v>44</v>
      </c>
      <c r="B16" s="68">
        <f t="shared" ref="B16:N16" si="2">B15/B13</f>
        <v>3.3</v>
      </c>
      <c r="C16" s="68">
        <f t="shared" si="2"/>
        <v>3.55</v>
      </c>
      <c r="D16" s="68">
        <f t="shared" si="2"/>
        <v>3.8</v>
      </c>
      <c r="E16" s="68">
        <f t="shared" si="2"/>
        <v>4.0100000000000007</v>
      </c>
      <c r="F16" s="154">
        <f t="shared" si="2"/>
        <v>4.2300000000000004</v>
      </c>
      <c r="G16" s="154">
        <f t="shared" si="2"/>
        <v>7.8114285714285714</v>
      </c>
      <c r="H16" s="154">
        <f t="shared" si="2"/>
        <v>8.879999999999999</v>
      </c>
      <c r="I16" s="154">
        <f t="shared" si="2"/>
        <v>8.8800000000000008</v>
      </c>
      <c r="J16" s="154">
        <f t="shared" si="2"/>
        <v>10.75</v>
      </c>
      <c r="K16" s="154">
        <v>3.3</v>
      </c>
      <c r="L16" s="154">
        <f t="shared" si="2"/>
        <v>5.1950000000000003</v>
      </c>
      <c r="M16" s="154">
        <f t="shared" si="2"/>
        <v>5.1949999999999994</v>
      </c>
      <c r="N16" s="154">
        <f t="shared" si="2"/>
        <v>5.1950000000000003</v>
      </c>
    </row>
    <row r="17" spans="1:14" ht="16.5" customHeight="1" x14ac:dyDescent="0.25">
      <c r="A17" s="56" t="s">
        <v>41</v>
      </c>
      <c r="B17" s="71"/>
      <c r="C17" s="71"/>
      <c r="D17" s="71"/>
      <c r="E17" s="71" t="s">
        <v>45</v>
      </c>
      <c r="F17" s="170">
        <v>4.5999999999999996</v>
      </c>
      <c r="G17" s="518" t="s">
        <v>46</v>
      </c>
      <c r="H17" s="518"/>
      <c r="I17" s="518"/>
      <c r="J17" s="170">
        <v>7</v>
      </c>
      <c r="K17" s="170"/>
      <c r="L17" s="71"/>
      <c r="M17" s="71"/>
      <c r="N17" s="72"/>
    </row>
    <row r="18" spans="1:14" ht="16.5" customHeight="1" thickBot="1" x14ac:dyDescent="0.3">
      <c r="A18" s="60"/>
      <c r="B18" s="513"/>
      <c r="C18" s="513"/>
      <c r="D18" s="513"/>
      <c r="E18" s="513"/>
      <c r="F18" s="513"/>
      <c r="G18" s="513"/>
      <c r="H18" s="513"/>
      <c r="I18" s="513"/>
      <c r="J18" s="513"/>
      <c r="K18" s="513"/>
      <c r="L18" s="513"/>
      <c r="M18" s="513"/>
      <c r="N18" s="514"/>
    </row>
    <row r="19" spans="1:14" ht="16.5" customHeight="1" x14ac:dyDescent="0.25">
      <c r="A19" s="120" t="s">
        <v>11</v>
      </c>
      <c r="B19" s="176">
        <f>$B$15*B10/$B$13</f>
        <v>181.5</v>
      </c>
      <c r="C19" s="73">
        <f>$C$15*C10/$C$13</f>
        <v>156.19999999999999</v>
      </c>
      <c r="D19" s="73">
        <f>$D$15*D10/$D$13</f>
        <v>125.39999999999999</v>
      </c>
      <c r="E19" s="73">
        <f>$E$15*E10/$E$13</f>
        <v>88.22</v>
      </c>
      <c r="F19" s="155">
        <f>$F$15*F10/$F$13</f>
        <v>46.53</v>
      </c>
      <c r="G19" s="73">
        <f>G15/G13*G10</f>
        <v>601.48</v>
      </c>
      <c r="H19" s="73">
        <f t="shared" ref="H19:N19" si="3">H15/H13*H10</f>
        <v>586.07999999999993</v>
      </c>
      <c r="I19" s="73">
        <f t="shared" si="3"/>
        <v>488.40000000000003</v>
      </c>
      <c r="J19" s="73">
        <f t="shared" si="3"/>
        <v>473</v>
      </c>
      <c r="K19" s="73">
        <v>363</v>
      </c>
      <c r="L19" s="73">
        <f t="shared" si="3"/>
        <v>400.01500000000004</v>
      </c>
      <c r="M19" s="73">
        <f t="shared" si="3"/>
        <v>342.86999999999995</v>
      </c>
      <c r="N19" s="177">
        <f t="shared" si="3"/>
        <v>285.72500000000002</v>
      </c>
    </row>
    <row r="20" spans="1:14" ht="16.5" customHeight="1" x14ac:dyDescent="0.25">
      <c r="A20" s="121" t="s">
        <v>12</v>
      </c>
      <c r="B20" s="178">
        <f t="shared" ref="B20" si="4">$B$15*B11/$B$13</f>
        <v>181.5</v>
      </c>
      <c r="C20" s="78">
        <f t="shared" ref="C20" si="5">$C$15*C11/$C$13</f>
        <v>156.19999999999999</v>
      </c>
      <c r="D20" s="78">
        <f t="shared" ref="D20" si="6">$D$15*D11/$D$13</f>
        <v>125.39999999999999</v>
      </c>
      <c r="E20" s="78">
        <f t="shared" ref="E20" si="7">$E$15*E11/$E$13</f>
        <v>88.22</v>
      </c>
      <c r="F20" s="156">
        <f t="shared" ref="F20" si="8">$F$15*F11/$F$13</f>
        <v>46.53</v>
      </c>
      <c r="G20" s="78">
        <f>G15/G13*G11</f>
        <v>601.48</v>
      </c>
      <c r="H20" s="78">
        <f t="shared" ref="H20:N20" si="9">H15/H13*H11</f>
        <v>586.07999999999993</v>
      </c>
      <c r="I20" s="78">
        <f t="shared" si="9"/>
        <v>488.40000000000003</v>
      </c>
      <c r="J20" s="78">
        <f t="shared" si="9"/>
        <v>473</v>
      </c>
      <c r="K20" s="78">
        <v>363</v>
      </c>
      <c r="L20" s="78">
        <f t="shared" si="9"/>
        <v>400.01500000000004</v>
      </c>
      <c r="M20" s="78">
        <f t="shared" si="9"/>
        <v>342.86999999999995</v>
      </c>
      <c r="N20" s="179">
        <f t="shared" si="9"/>
        <v>285.72500000000002</v>
      </c>
    </row>
    <row r="21" spans="1:14" ht="16.5" customHeight="1" thickBot="1" x14ac:dyDescent="0.3">
      <c r="A21" s="122" t="s">
        <v>10</v>
      </c>
      <c r="B21" s="180">
        <f>$B$15*B12/$B$13</f>
        <v>231</v>
      </c>
      <c r="C21" s="82">
        <f>$C$15*C12/$C$13</f>
        <v>198.8</v>
      </c>
      <c r="D21" s="82">
        <f>$D$15*D12/$D$13</f>
        <v>159.6</v>
      </c>
      <c r="E21" s="82">
        <v>109.2</v>
      </c>
      <c r="F21" s="157">
        <f>$F$15*F12/$F$13</f>
        <v>59.22</v>
      </c>
      <c r="G21" s="82">
        <f t="shared" ref="G21:N21" si="10">G15/G13*G12</f>
        <v>765.52</v>
      </c>
      <c r="H21" s="82">
        <f t="shared" si="10"/>
        <v>745.92</v>
      </c>
      <c r="I21" s="82">
        <f t="shared" si="10"/>
        <v>621.6</v>
      </c>
      <c r="J21" s="82">
        <f t="shared" si="10"/>
        <v>602</v>
      </c>
      <c r="K21" s="82">
        <v>462</v>
      </c>
      <c r="L21" s="82">
        <f t="shared" si="10"/>
        <v>509.11</v>
      </c>
      <c r="M21" s="82">
        <f t="shared" si="10"/>
        <v>436.37999999999994</v>
      </c>
      <c r="N21" s="181">
        <f t="shared" si="10"/>
        <v>363.65000000000003</v>
      </c>
    </row>
    <row r="22" spans="1:14" ht="16.5" customHeight="1" thickBot="1" x14ac:dyDescent="0.3">
      <c r="A22" s="123"/>
      <c r="B22" s="182">
        <f>SUM(B19:B21)</f>
        <v>594</v>
      </c>
      <c r="C22" s="97">
        <f t="shared" ref="C22:N22" si="11">SUM(C19:C21)</f>
        <v>511.2</v>
      </c>
      <c r="D22" s="97">
        <f t="shared" si="11"/>
        <v>410.4</v>
      </c>
      <c r="E22" s="97">
        <f t="shared" si="11"/>
        <v>285.64</v>
      </c>
      <c r="F22" s="97">
        <f t="shared" si="11"/>
        <v>152.28</v>
      </c>
      <c r="G22" s="97">
        <f t="shared" si="11"/>
        <v>1968.48</v>
      </c>
      <c r="H22" s="97">
        <f t="shared" si="11"/>
        <v>1918.08</v>
      </c>
      <c r="I22" s="97">
        <f t="shared" si="11"/>
        <v>1598.4</v>
      </c>
      <c r="J22" s="97">
        <f t="shared" si="11"/>
        <v>1548</v>
      </c>
      <c r="K22" s="97">
        <v>1188</v>
      </c>
      <c r="L22" s="97">
        <f t="shared" si="11"/>
        <v>1309.1400000000001</v>
      </c>
      <c r="M22" s="97">
        <f t="shared" si="11"/>
        <v>1122.1199999999999</v>
      </c>
      <c r="N22" s="173">
        <f t="shared" si="11"/>
        <v>935.10000000000014</v>
      </c>
    </row>
    <row r="23" spans="1:14" x14ac:dyDescent="0.25">
      <c r="A23" s="56"/>
      <c r="B23" s="71"/>
      <c r="C23" s="71"/>
      <c r="D23" s="71"/>
      <c r="E23" s="71"/>
      <c r="F23" s="71"/>
      <c r="G23" s="71"/>
      <c r="H23" s="71"/>
      <c r="I23" s="71"/>
      <c r="J23" s="71"/>
      <c r="K23" s="184"/>
      <c r="L23" s="71"/>
      <c r="M23" s="71"/>
      <c r="N23" s="71"/>
    </row>
  </sheetData>
  <mergeCells count="4">
    <mergeCell ref="A1:N1"/>
    <mergeCell ref="L8:N8"/>
    <mergeCell ref="B18:N18"/>
    <mergeCell ref="G17:I17"/>
  </mergeCells>
  <pageMargins left="0.43307086614173229" right="0.39370078740157483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workbookViewId="0">
      <selection activeCell="F29" sqref="F29"/>
    </sheetView>
  </sheetViews>
  <sheetFormatPr baseColWidth="10" defaultRowHeight="15" x14ac:dyDescent="0.25"/>
  <cols>
    <col min="1" max="1" width="16.5703125" style="1" bestFit="1" customWidth="1"/>
    <col min="2" max="9" width="8" style="1" bestFit="1" customWidth="1"/>
    <col min="10" max="11" width="8" style="1" customWidth="1"/>
    <col min="12" max="14" width="13.7109375" style="1" bestFit="1" customWidth="1"/>
    <col min="15" max="25" width="11.42578125" style="1"/>
    <col min="26" max="16384" width="11.42578125" style="5"/>
  </cols>
  <sheetData>
    <row r="1" spans="1:14" x14ac:dyDescent="0.25">
      <c r="A1" s="507" t="s">
        <v>51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</row>
    <row r="2" spans="1:14" ht="15.75" thickBot="1" x14ac:dyDescent="0.3"/>
    <row r="3" spans="1:14" x14ac:dyDescent="0.25">
      <c r="A3" s="56"/>
      <c r="B3" s="65"/>
      <c r="C3" s="65"/>
      <c r="D3" s="65"/>
      <c r="E3" s="65"/>
      <c r="F3" s="142"/>
      <c r="G3" s="134"/>
      <c r="H3" s="134"/>
      <c r="I3" s="134"/>
      <c r="J3" s="134"/>
      <c r="K3" s="134"/>
      <c r="L3" s="134"/>
      <c r="M3" s="134"/>
      <c r="N3" s="66"/>
    </row>
    <row r="4" spans="1:14" x14ac:dyDescent="0.25">
      <c r="A4" s="57" t="s">
        <v>43</v>
      </c>
      <c r="B4" s="7">
        <v>36</v>
      </c>
      <c r="C4" s="7">
        <v>36</v>
      </c>
      <c r="D4" s="7">
        <v>36</v>
      </c>
      <c r="E4" s="7">
        <v>36</v>
      </c>
      <c r="F4" s="144">
        <v>36</v>
      </c>
      <c r="G4" s="7">
        <v>36</v>
      </c>
      <c r="H4" s="7">
        <v>36</v>
      </c>
      <c r="I4" s="7">
        <v>36</v>
      </c>
      <c r="J4" s="7">
        <v>36</v>
      </c>
      <c r="K4" s="7">
        <v>36</v>
      </c>
      <c r="L4" s="7">
        <v>36</v>
      </c>
      <c r="M4" s="7">
        <v>36</v>
      </c>
      <c r="N4" s="59">
        <v>36</v>
      </c>
    </row>
    <row r="5" spans="1:14" x14ac:dyDescent="0.25">
      <c r="A5" s="57" t="s">
        <v>9</v>
      </c>
      <c r="B5" s="9">
        <f>B4*5</f>
        <v>180</v>
      </c>
      <c r="C5" s="9">
        <f>C4*4</f>
        <v>144</v>
      </c>
      <c r="D5" s="7">
        <f>D4*3</f>
        <v>108</v>
      </c>
      <c r="E5" s="9">
        <f>E4*2</f>
        <v>72</v>
      </c>
      <c r="F5" s="144">
        <f>F4*1</f>
        <v>36</v>
      </c>
      <c r="G5" s="10">
        <v>252</v>
      </c>
      <c r="H5" s="7">
        <f>H4*6</f>
        <v>216</v>
      </c>
      <c r="I5" s="9">
        <f>I4*5</f>
        <v>180</v>
      </c>
      <c r="J5" s="10">
        <v>144</v>
      </c>
      <c r="K5" s="10">
        <v>180</v>
      </c>
      <c r="L5" s="10">
        <v>252</v>
      </c>
      <c r="M5" s="7">
        <f>M4*6</f>
        <v>216</v>
      </c>
      <c r="N5" s="59">
        <f>N4*5</f>
        <v>180</v>
      </c>
    </row>
    <row r="6" spans="1:14" ht="15.75" thickBot="1" x14ac:dyDescent="0.3">
      <c r="A6" s="57"/>
      <c r="B6" s="7"/>
      <c r="C6" s="7"/>
      <c r="D6" s="7"/>
      <c r="E6" s="7"/>
      <c r="F6" s="143"/>
      <c r="G6" s="8"/>
      <c r="H6" s="8"/>
      <c r="I6" s="8"/>
      <c r="J6" s="8"/>
      <c r="K6" s="8"/>
      <c r="L6" s="8"/>
      <c r="M6" s="8"/>
      <c r="N6" s="58"/>
    </row>
    <row r="7" spans="1:14" ht="16.5" customHeight="1" x14ac:dyDescent="0.25">
      <c r="A7" s="124"/>
      <c r="B7" s="125" t="s">
        <v>3</v>
      </c>
      <c r="C7" s="125" t="s">
        <v>4</v>
      </c>
      <c r="D7" s="125" t="s">
        <v>5</v>
      </c>
      <c r="E7" s="125" t="s">
        <v>6</v>
      </c>
      <c r="F7" s="145" t="s">
        <v>7</v>
      </c>
      <c r="G7" s="126" t="s">
        <v>33</v>
      </c>
      <c r="H7" s="126" t="s">
        <v>32</v>
      </c>
      <c r="I7" s="126" t="s">
        <v>31</v>
      </c>
      <c r="J7" s="188" t="s">
        <v>40</v>
      </c>
      <c r="K7" s="189" t="s">
        <v>48</v>
      </c>
      <c r="L7" s="126" t="s">
        <v>30</v>
      </c>
      <c r="M7" s="126" t="s">
        <v>29</v>
      </c>
      <c r="N7" s="127" t="s">
        <v>34</v>
      </c>
    </row>
    <row r="8" spans="1:14" ht="16.5" customHeight="1" thickBot="1" x14ac:dyDescent="0.3">
      <c r="A8" s="128"/>
      <c r="B8" s="129"/>
      <c r="C8" s="129"/>
      <c r="D8" s="129"/>
      <c r="E8" s="129"/>
      <c r="F8" s="146"/>
      <c r="G8" s="130"/>
      <c r="H8" s="130"/>
      <c r="I8" s="130"/>
      <c r="J8" s="185"/>
      <c r="K8" s="190" t="s">
        <v>49</v>
      </c>
      <c r="L8" s="516" t="s">
        <v>60</v>
      </c>
      <c r="M8" s="516"/>
      <c r="N8" s="517"/>
    </row>
    <row r="9" spans="1:14" ht="16.5" customHeight="1" thickBot="1" x14ac:dyDescent="0.3">
      <c r="A9" s="57"/>
      <c r="B9" s="132" t="s">
        <v>1</v>
      </c>
      <c r="C9" s="132" t="s">
        <v>1</v>
      </c>
      <c r="D9" s="132" t="s">
        <v>1</v>
      </c>
      <c r="E9" s="132" t="s">
        <v>1</v>
      </c>
      <c r="F9" s="147" t="s">
        <v>1</v>
      </c>
      <c r="G9" s="139" t="s">
        <v>1</v>
      </c>
      <c r="H9" s="132" t="s">
        <v>1</v>
      </c>
      <c r="I9" s="132" t="s">
        <v>1</v>
      </c>
      <c r="J9" s="132" t="s">
        <v>1</v>
      </c>
      <c r="K9" s="187" t="s">
        <v>50</v>
      </c>
      <c r="L9" s="132" t="s">
        <v>1</v>
      </c>
      <c r="M9" s="132" t="s">
        <v>1</v>
      </c>
      <c r="N9" s="136" t="s">
        <v>1</v>
      </c>
    </row>
    <row r="10" spans="1:14" ht="16.5" customHeight="1" thickBot="1" x14ac:dyDescent="0.3">
      <c r="A10" s="61" t="s">
        <v>52</v>
      </c>
      <c r="B10" s="62">
        <v>60</v>
      </c>
      <c r="C10" s="62">
        <v>48</v>
      </c>
      <c r="D10" s="62">
        <v>36</v>
      </c>
      <c r="E10" s="62">
        <v>24</v>
      </c>
      <c r="F10" s="148">
        <v>12</v>
      </c>
      <c r="G10" s="63">
        <v>84</v>
      </c>
      <c r="H10" s="63">
        <v>72</v>
      </c>
      <c r="I10" s="63">
        <v>60</v>
      </c>
      <c r="J10" s="63">
        <v>48</v>
      </c>
      <c r="K10" s="63">
        <v>120</v>
      </c>
      <c r="L10" s="63">
        <v>84</v>
      </c>
      <c r="M10" s="63">
        <v>72</v>
      </c>
      <c r="N10" s="64">
        <v>60</v>
      </c>
    </row>
    <row r="11" spans="1:14" ht="16.5" customHeight="1" thickBot="1" x14ac:dyDescent="0.3">
      <c r="A11" s="77" t="s">
        <v>53</v>
      </c>
      <c r="B11" s="87">
        <v>50</v>
      </c>
      <c r="C11" s="87">
        <v>40</v>
      </c>
      <c r="D11" s="87">
        <v>30</v>
      </c>
      <c r="E11" s="87">
        <v>20</v>
      </c>
      <c r="F11" s="149">
        <v>10</v>
      </c>
      <c r="G11" s="88">
        <v>70</v>
      </c>
      <c r="H11" s="88">
        <v>60</v>
      </c>
      <c r="I11" s="88">
        <v>50</v>
      </c>
      <c r="J11" s="88">
        <v>40</v>
      </c>
      <c r="K11" s="88">
        <v>100</v>
      </c>
      <c r="L11" s="88">
        <v>70</v>
      </c>
      <c r="M11" s="88">
        <v>60</v>
      </c>
      <c r="N11" s="89">
        <v>50</v>
      </c>
    </row>
    <row r="12" spans="1:14" ht="16.5" customHeight="1" thickBot="1" x14ac:dyDescent="0.3">
      <c r="A12" s="92" t="s">
        <v>16</v>
      </c>
      <c r="B12" s="94">
        <f>14*5</f>
        <v>70</v>
      </c>
      <c r="C12" s="94">
        <f>14*4</f>
        <v>56</v>
      </c>
      <c r="D12" s="94">
        <f>14*3</f>
        <v>42</v>
      </c>
      <c r="E12" s="94">
        <f>14*2</f>
        <v>28</v>
      </c>
      <c r="F12" s="150">
        <f>14</f>
        <v>14</v>
      </c>
      <c r="G12" s="95">
        <v>98</v>
      </c>
      <c r="H12" s="95">
        <v>84</v>
      </c>
      <c r="I12" s="95">
        <v>70</v>
      </c>
      <c r="J12" s="95">
        <v>56</v>
      </c>
      <c r="K12" s="95">
        <v>140</v>
      </c>
      <c r="L12" s="95">
        <v>98</v>
      </c>
      <c r="M12" s="95">
        <v>84</v>
      </c>
      <c r="N12" s="96">
        <v>70</v>
      </c>
    </row>
    <row r="13" spans="1:14" ht="16.5" customHeight="1" thickBot="1" x14ac:dyDescent="0.3">
      <c r="A13" s="101" t="s">
        <v>9</v>
      </c>
      <c r="B13" s="102">
        <f>SUM(B10:B12)</f>
        <v>180</v>
      </c>
      <c r="C13" s="102">
        <f t="shared" ref="C13:F13" si="0">SUM(C10:C12)</f>
        <v>144</v>
      </c>
      <c r="D13" s="102">
        <f t="shared" si="0"/>
        <v>108</v>
      </c>
      <c r="E13" s="102">
        <f t="shared" si="0"/>
        <v>72</v>
      </c>
      <c r="F13" s="151">
        <f t="shared" si="0"/>
        <v>36</v>
      </c>
      <c r="G13" s="140">
        <f>SUM(G10:G12)</f>
        <v>252</v>
      </c>
      <c r="H13" s="140">
        <f>SUM(H10:H12)</f>
        <v>216</v>
      </c>
      <c r="I13" s="140">
        <f t="shared" ref="I13:N13" si="1">SUM(I10:I12)</f>
        <v>180</v>
      </c>
      <c r="J13" s="140">
        <f>SUM(J10:J12)</f>
        <v>144</v>
      </c>
      <c r="K13" s="140">
        <v>360</v>
      </c>
      <c r="L13" s="140">
        <f t="shared" si="1"/>
        <v>252</v>
      </c>
      <c r="M13" s="140">
        <f t="shared" si="1"/>
        <v>216</v>
      </c>
      <c r="N13" s="109">
        <f t="shared" si="1"/>
        <v>180</v>
      </c>
    </row>
    <row r="14" spans="1:14" ht="16.5" customHeight="1" thickBot="1" x14ac:dyDescent="0.3">
      <c r="A14" s="106"/>
      <c r="B14" s="107"/>
      <c r="C14" s="107"/>
      <c r="D14" s="108"/>
      <c r="E14" s="108"/>
      <c r="F14" s="152"/>
      <c r="G14" s="141"/>
      <c r="H14" s="108"/>
      <c r="I14" s="108"/>
      <c r="J14" s="108"/>
      <c r="K14" s="108"/>
      <c r="L14" s="108"/>
      <c r="M14" s="108"/>
      <c r="N14" s="109"/>
    </row>
    <row r="15" spans="1:14" ht="16.5" customHeight="1" thickBot="1" x14ac:dyDescent="0.3">
      <c r="A15" s="60" t="s">
        <v>0</v>
      </c>
      <c r="B15" s="97">
        <v>626.4</v>
      </c>
      <c r="C15" s="97">
        <v>532.79999999999995</v>
      </c>
      <c r="D15" s="98">
        <v>423.36</v>
      </c>
      <c r="E15" s="98">
        <v>297.36</v>
      </c>
      <c r="F15" s="153">
        <v>156.6</v>
      </c>
      <c r="G15" s="99">
        <v>2083.6799999999998</v>
      </c>
      <c r="H15" s="99">
        <v>1982.88</v>
      </c>
      <c r="I15" s="172">
        <v>1756.8</v>
      </c>
      <c r="J15" s="172">
        <v>1530.72</v>
      </c>
      <c r="K15" s="172">
        <v>1252.8</v>
      </c>
      <c r="L15" s="172">
        <v>1457.28</v>
      </c>
      <c r="M15" s="172">
        <v>1356.48</v>
      </c>
      <c r="N15" s="173">
        <v>1130.4000000000001</v>
      </c>
    </row>
    <row r="16" spans="1:14" ht="24" customHeight="1" thickBot="1" x14ac:dyDescent="0.3">
      <c r="A16" s="67" t="s">
        <v>44</v>
      </c>
      <c r="B16" s="68">
        <f t="shared" ref="B16:N16" si="2">B15/B13</f>
        <v>3.48</v>
      </c>
      <c r="C16" s="68">
        <f t="shared" si="2"/>
        <v>3.6999999999999997</v>
      </c>
      <c r="D16" s="68">
        <f t="shared" si="2"/>
        <v>3.92</v>
      </c>
      <c r="E16" s="68">
        <f t="shared" si="2"/>
        <v>4.13</v>
      </c>
      <c r="F16" s="154">
        <f t="shared" si="2"/>
        <v>4.3499999999999996</v>
      </c>
      <c r="G16" s="154">
        <f t="shared" si="2"/>
        <v>8.2685714285714287</v>
      </c>
      <c r="H16" s="154">
        <f t="shared" si="2"/>
        <v>9.18</v>
      </c>
      <c r="I16" s="154">
        <f t="shared" si="2"/>
        <v>9.76</v>
      </c>
      <c r="J16" s="154">
        <f t="shared" si="2"/>
        <v>10.63</v>
      </c>
      <c r="K16" s="154">
        <v>6.96</v>
      </c>
      <c r="L16" s="154">
        <f t="shared" si="2"/>
        <v>5.7828571428571429</v>
      </c>
      <c r="M16" s="154">
        <f t="shared" si="2"/>
        <v>6.28</v>
      </c>
      <c r="N16" s="154">
        <f t="shared" si="2"/>
        <v>6.28</v>
      </c>
    </row>
    <row r="17" spans="1:14" ht="16.5" customHeight="1" x14ac:dyDescent="0.25">
      <c r="A17" s="56" t="s">
        <v>41</v>
      </c>
      <c r="B17" s="186"/>
      <c r="C17" s="186"/>
      <c r="D17" s="186"/>
      <c r="E17" s="186" t="s">
        <v>45</v>
      </c>
      <c r="F17" s="170">
        <v>4.3499999999999996</v>
      </c>
      <c r="G17" s="518" t="s">
        <v>46</v>
      </c>
      <c r="H17" s="518"/>
      <c r="I17" s="518"/>
      <c r="J17" s="170">
        <v>7</v>
      </c>
      <c r="K17" s="170"/>
      <c r="L17" s="186"/>
      <c r="M17" s="186"/>
      <c r="N17" s="72"/>
    </row>
    <row r="18" spans="1:14" ht="16.5" customHeight="1" thickBot="1" x14ac:dyDescent="0.3">
      <c r="A18" s="60"/>
      <c r="B18" s="513"/>
      <c r="C18" s="513"/>
      <c r="D18" s="513"/>
      <c r="E18" s="513"/>
      <c r="F18" s="513"/>
      <c r="G18" s="513"/>
      <c r="H18" s="513"/>
      <c r="I18" s="513"/>
      <c r="J18" s="513"/>
      <c r="K18" s="520"/>
      <c r="L18" s="513"/>
      <c r="M18" s="513"/>
      <c r="N18" s="514"/>
    </row>
    <row r="19" spans="1:14" ht="16.5" customHeight="1" x14ac:dyDescent="0.25">
      <c r="A19" s="120" t="s">
        <v>11</v>
      </c>
      <c r="B19" s="176">
        <f>$B$15*B10/$B$13</f>
        <v>208.8</v>
      </c>
      <c r="C19" s="73">
        <f>$C$15*C10/$C$13</f>
        <v>177.6</v>
      </c>
      <c r="D19" s="73">
        <f>$D$15*D10/$D$13</f>
        <v>141.12</v>
      </c>
      <c r="E19" s="73">
        <f>$E$15*E10/$E$13</f>
        <v>99.12</v>
      </c>
      <c r="F19" s="155">
        <f>$F$15*F10/$F$13</f>
        <v>52.199999999999996</v>
      </c>
      <c r="G19" s="73">
        <f>G15/G13*G10</f>
        <v>694.56000000000006</v>
      </c>
      <c r="H19" s="73">
        <f t="shared" ref="H19:K19" si="3">H15/H13*H10</f>
        <v>660.96</v>
      </c>
      <c r="I19" s="73">
        <f t="shared" si="3"/>
        <v>585.6</v>
      </c>
      <c r="J19" s="73">
        <f t="shared" si="3"/>
        <v>510.24</v>
      </c>
      <c r="K19" s="73">
        <f t="shared" si="3"/>
        <v>417.6</v>
      </c>
      <c r="L19" s="73">
        <f>L22/L13*L10</f>
        <v>485.76</v>
      </c>
      <c r="M19" s="73">
        <f>M22/M13*M10</f>
        <v>452.16</v>
      </c>
      <c r="N19" s="177">
        <f>N22/N13*N10</f>
        <v>376.8</v>
      </c>
    </row>
    <row r="20" spans="1:14" ht="16.5" customHeight="1" x14ac:dyDescent="0.25">
      <c r="A20" s="121" t="s">
        <v>12</v>
      </c>
      <c r="B20" s="178">
        <f t="shared" ref="B20" si="4">$B$15*B11/$B$13</f>
        <v>174</v>
      </c>
      <c r="C20" s="78">
        <f t="shared" ref="C20" si="5">$C$15*C11/$C$13</f>
        <v>148</v>
      </c>
      <c r="D20" s="78">
        <f t="shared" ref="D20" si="6">$D$15*D11/$D$13</f>
        <v>117.60000000000001</v>
      </c>
      <c r="E20" s="78">
        <f t="shared" ref="E20" si="7">$E$15*E11/$E$13</f>
        <v>82.600000000000009</v>
      </c>
      <c r="F20" s="156">
        <f t="shared" ref="F20" si="8">$F$15*F11/$F$13</f>
        <v>43.5</v>
      </c>
      <c r="G20" s="78">
        <f>G15/G13*G11</f>
        <v>578.79999999999995</v>
      </c>
      <c r="H20" s="78">
        <f t="shared" ref="H20:K20" si="9">H15/H13*H11</f>
        <v>550.79999999999995</v>
      </c>
      <c r="I20" s="78">
        <f t="shared" si="9"/>
        <v>488</v>
      </c>
      <c r="J20" s="78">
        <f t="shared" si="9"/>
        <v>425.20000000000005</v>
      </c>
      <c r="K20" s="78">
        <f t="shared" si="9"/>
        <v>348</v>
      </c>
      <c r="L20" s="78">
        <f>L22/L13*L11</f>
        <v>404.8</v>
      </c>
      <c r="M20" s="78">
        <f>M22/M13*M11</f>
        <v>376.8</v>
      </c>
      <c r="N20" s="179">
        <f>N22/N13*N11</f>
        <v>314</v>
      </c>
    </row>
    <row r="21" spans="1:14" ht="16.5" customHeight="1" thickBot="1" x14ac:dyDescent="0.3">
      <c r="A21" s="122" t="s">
        <v>10</v>
      </c>
      <c r="B21" s="180">
        <f>$B$15*B12/$B$13</f>
        <v>243.6</v>
      </c>
      <c r="C21" s="82">
        <f>$C$15*C12/$C$13</f>
        <v>207.19999999999996</v>
      </c>
      <c r="D21" s="82">
        <f>$D$15*D12/$D$13</f>
        <v>164.64</v>
      </c>
      <c r="E21" s="82">
        <v>109.2</v>
      </c>
      <c r="F21" s="157">
        <f>$F$15*F12/$F$13</f>
        <v>60.900000000000006</v>
      </c>
      <c r="G21" s="82">
        <f t="shared" ref="G21:K21" si="10">G15/G13*G12</f>
        <v>810.32</v>
      </c>
      <c r="H21" s="82">
        <f t="shared" si="10"/>
        <v>771.12</v>
      </c>
      <c r="I21" s="82">
        <f t="shared" si="10"/>
        <v>683.19999999999993</v>
      </c>
      <c r="J21" s="82">
        <f t="shared" si="10"/>
        <v>595.28000000000009</v>
      </c>
      <c r="K21" s="82">
        <f t="shared" si="10"/>
        <v>487.2</v>
      </c>
      <c r="L21" s="82">
        <f>L22/L13*L12</f>
        <v>566.72</v>
      </c>
      <c r="M21" s="82">
        <f>M22/M13*M12</f>
        <v>527.52</v>
      </c>
      <c r="N21" s="181">
        <f>N22/N13*N12</f>
        <v>439.6</v>
      </c>
    </row>
    <row r="22" spans="1:14" ht="16.5" customHeight="1" thickBot="1" x14ac:dyDescent="0.3">
      <c r="A22" s="123"/>
      <c r="B22" s="182">
        <f>SUM(B19:B21)</f>
        <v>626.4</v>
      </c>
      <c r="C22" s="97">
        <f t="shared" ref="C22:J22" si="11">SUM(C19:C21)</f>
        <v>532.79999999999995</v>
      </c>
      <c r="D22" s="97">
        <f t="shared" si="11"/>
        <v>423.36</v>
      </c>
      <c r="E22" s="97">
        <f t="shared" si="11"/>
        <v>290.92</v>
      </c>
      <c r="F22" s="97">
        <f t="shared" si="11"/>
        <v>156.6</v>
      </c>
      <c r="G22" s="97">
        <f t="shared" si="11"/>
        <v>2083.6800000000003</v>
      </c>
      <c r="H22" s="97">
        <f t="shared" si="11"/>
        <v>1982.88</v>
      </c>
      <c r="I22" s="97">
        <f t="shared" si="11"/>
        <v>1756.7999999999997</v>
      </c>
      <c r="J22" s="97">
        <f t="shared" si="11"/>
        <v>1530.7200000000003</v>
      </c>
      <c r="K22" s="97">
        <f>SUM(K19:K21)</f>
        <v>1252.8</v>
      </c>
      <c r="L22" s="97">
        <v>1457.28</v>
      </c>
      <c r="M22" s="97">
        <v>1356.48</v>
      </c>
      <c r="N22" s="173">
        <v>1130.4000000000001</v>
      </c>
    </row>
    <row r="23" spans="1:14" x14ac:dyDescent="0.25">
      <c r="A23" s="56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</row>
    <row r="25" spans="1:14" x14ac:dyDescent="0.25">
      <c r="A25" s="519" t="s">
        <v>58</v>
      </c>
      <c r="B25" s="519"/>
      <c r="C25" s="519"/>
      <c r="D25" s="519"/>
      <c r="E25" s="519"/>
      <c r="F25" s="519"/>
      <c r="G25" s="519"/>
      <c r="H25" s="519"/>
      <c r="I25" s="519"/>
      <c r="J25" s="519"/>
      <c r="K25" s="519"/>
      <c r="L25" s="519"/>
      <c r="M25" s="519"/>
      <c r="N25" s="519"/>
    </row>
    <row r="26" spans="1:14" x14ac:dyDescent="0.25">
      <c r="A26" s="519" t="s">
        <v>54</v>
      </c>
      <c r="B26" s="519"/>
      <c r="C26" s="519"/>
      <c r="D26" s="519"/>
      <c r="E26" s="519"/>
      <c r="F26" s="519"/>
      <c r="G26" s="519"/>
      <c r="H26" s="519"/>
      <c r="I26" s="519"/>
      <c r="J26" s="519"/>
      <c r="K26" s="519"/>
      <c r="L26" s="519"/>
      <c r="M26" s="519"/>
      <c r="N26" s="519"/>
    </row>
    <row r="27" spans="1:14" x14ac:dyDescent="0.25">
      <c r="A27" s="519" t="s">
        <v>55</v>
      </c>
      <c r="B27" s="519"/>
      <c r="C27" s="519"/>
      <c r="D27" s="519"/>
      <c r="E27" s="519"/>
      <c r="F27" s="519"/>
      <c r="G27" s="519"/>
      <c r="H27" s="519"/>
      <c r="I27" s="519"/>
      <c r="J27" s="519"/>
      <c r="K27" s="519"/>
      <c r="L27" s="519"/>
      <c r="M27" s="519"/>
      <c r="N27" s="519"/>
    </row>
    <row r="28" spans="1:14" x14ac:dyDescent="0.25">
      <c r="A28" s="192" t="s">
        <v>56</v>
      </c>
      <c r="L28" s="163"/>
      <c r="N28" s="163"/>
    </row>
    <row r="29" spans="1:14" x14ac:dyDescent="0.25">
      <c r="A29" s="193" t="s">
        <v>57</v>
      </c>
      <c r="B29" s="194">
        <v>2.0499999999999998</v>
      </c>
      <c r="C29" s="194">
        <v>2.1800000000000002</v>
      </c>
      <c r="D29" s="194">
        <v>2.31</v>
      </c>
      <c r="E29" s="194">
        <v>2.38</v>
      </c>
      <c r="F29" s="194">
        <v>2.57</v>
      </c>
      <c r="G29" s="194"/>
      <c r="H29" s="194"/>
      <c r="I29" s="194">
        <v>4.29</v>
      </c>
      <c r="J29" s="194">
        <v>4.68</v>
      </c>
      <c r="K29" s="194">
        <v>3.41</v>
      </c>
      <c r="L29" s="194"/>
      <c r="M29" s="194"/>
      <c r="N29" s="194"/>
    </row>
    <row r="30" spans="1:14" x14ac:dyDescent="0.25">
      <c r="A30" s="193" t="s">
        <v>59</v>
      </c>
    </row>
  </sheetData>
  <mergeCells count="7">
    <mergeCell ref="A26:N26"/>
    <mergeCell ref="A27:N27"/>
    <mergeCell ref="A1:N1"/>
    <mergeCell ref="L8:N8"/>
    <mergeCell ref="G17:I17"/>
    <mergeCell ref="B18:N18"/>
    <mergeCell ref="A25:N25"/>
  </mergeCells>
  <pageMargins left="0.43307086614173229" right="0.39370078740157483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zoomScaleNormal="100" workbookViewId="0">
      <selection activeCell="P22" sqref="P22"/>
    </sheetView>
  </sheetViews>
  <sheetFormatPr baseColWidth="10" defaultRowHeight="15" x14ac:dyDescent="0.25"/>
  <cols>
    <col min="1" max="1" width="18.42578125" style="1" customWidth="1"/>
    <col min="2" max="9" width="8" style="1" bestFit="1" customWidth="1"/>
    <col min="10" max="11" width="8" style="1" customWidth="1"/>
    <col min="12" max="14" width="13.7109375" style="1" bestFit="1" customWidth="1"/>
    <col min="15" max="25" width="11.42578125" style="1"/>
    <col min="26" max="16384" width="11.42578125" style="5"/>
  </cols>
  <sheetData>
    <row r="1" spans="1:14" x14ac:dyDescent="0.25">
      <c r="A1" s="507" t="s">
        <v>61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</row>
    <row r="2" spans="1:14" ht="15.75" thickBot="1" x14ac:dyDescent="0.3"/>
    <row r="3" spans="1:14" x14ac:dyDescent="0.25">
      <c r="A3" s="56"/>
      <c r="B3" s="65"/>
      <c r="C3" s="65"/>
      <c r="D3" s="65"/>
      <c r="E3" s="65"/>
      <c r="F3" s="142"/>
      <c r="G3" s="134"/>
      <c r="H3" s="134"/>
      <c r="I3" s="134"/>
      <c r="J3" s="195"/>
      <c r="K3" s="207"/>
      <c r="L3" s="134"/>
      <c r="M3" s="134"/>
      <c r="N3" s="66"/>
    </row>
    <row r="4" spans="1:14" x14ac:dyDescent="0.25">
      <c r="A4" s="57" t="s">
        <v>43</v>
      </c>
      <c r="B4" s="7">
        <v>36</v>
      </c>
      <c r="C4" s="7">
        <v>36</v>
      </c>
      <c r="D4" s="7">
        <v>36</v>
      </c>
      <c r="E4" s="7">
        <v>36</v>
      </c>
      <c r="F4" s="144">
        <v>36</v>
      </c>
      <c r="G4" s="8">
        <v>36</v>
      </c>
      <c r="H4" s="7">
        <v>36</v>
      </c>
      <c r="I4" s="7">
        <v>36</v>
      </c>
      <c r="J4" s="6">
        <v>36</v>
      </c>
      <c r="K4" s="208">
        <v>36</v>
      </c>
      <c r="L4" s="8">
        <v>36</v>
      </c>
      <c r="M4" s="7">
        <v>36</v>
      </c>
      <c r="N4" s="59">
        <v>36</v>
      </c>
    </row>
    <row r="5" spans="1:14" x14ac:dyDescent="0.25">
      <c r="A5" s="57" t="s">
        <v>9</v>
      </c>
      <c r="B5" s="9">
        <f>B4*5</f>
        <v>180</v>
      </c>
      <c r="C5" s="9">
        <f>C4*4</f>
        <v>144</v>
      </c>
      <c r="D5" s="7">
        <f>D4*3</f>
        <v>108</v>
      </c>
      <c r="E5" s="9">
        <f>E4*2</f>
        <v>72</v>
      </c>
      <c r="F5" s="144">
        <f>F4*1</f>
        <v>36</v>
      </c>
      <c r="G5" s="10">
        <v>252</v>
      </c>
      <c r="H5" s="7">
        <f>H4*6</f>
        <v>216</v>
      </c>
      <c r="I5" s="9">
        <f>I4*5</f>
        <v>180</v>
      </c>
      <c r="J5" s="30">
        <v>144</v>
      </c>
      <c r="K5" s="209">
        <v>180</v>
      </c>
      <c r="L5" s="10">
        <v>252</v>
      </c>
      <c r="M5" s="7">
        <f>M4*6</f>
        <v>216</v>
      </c>
      <c r="N5" s="59">
        <f>N4*5</f>
        <v>180</v>
      </c>
    </row>
    <row r="6" spans="1:14" ht="15.75" thickBot="1" x14ac:dyDescent="0.3">
      <c r="A6" s="57"/>
      <c r="B6" s="7"/>
      <c r="C6" s="7"/>
      <c r="D6" s="7"/>
      <c r="E6" s="7"/>
      <c r="F6" s="143"/>
      <c r="G6" s="8"/>
      <c r="H6" s="8"/>
      <c r="I6" s="8"/>
      <c r="J6" s="29"/>
      <c r="K6" s="208"/>
      <c r="L6" s="8"/>
      <c r="M6" s="8"/>
      <c r="N6" s="58"/>
    </row>
    <row r="7" spans="1:14" ht="16.5" customHeight="1" x14ac:dyDescent="0.25">
      <c r="A7" s="124"/>
      <c r="B7" s="125" t="s">
        <v>3</v>
      </c>
      <c r="C7" s="125" t="s">
        <v>4</v>
      </c>
      <c r="D7" s="125" t="s">
        <v>5</v>
      </c>
      <c r="E7" s="125" t="s">
        <v>6</v>
      </c>
      <c r="F7" s="145" t="s">
        <v>7</v>
      </c>
      <c r="G7" s="126" t="s">
        <v>33</v>
      </c>
      <c r="H7" s="126" t="s">
        <v>32</v>
      </c>
      <c r="I7" s="126" t="s">
        <v>31</v>
      </c>
      <c r="J7" s="188" t="s">
        <v>40</v>
      </c>
      <c r="K7" s="189" t="s">
        <v>48</v>
      </c>
      <c r="L7" s="126" t="s">
        <v>30</v>
      </c>
      <c r="M7" s="126" t="s">
        <v>29</v>
      </c>
      <c r="N7" s="127" t="s">
        <v>34</v>
      </c>
    </row>
    <row r="8" spans="1:14" ht="16.5" customHeight="1" thickBot="1" x14ac:dyDescent="0.3">
      <c r="A8" s="128"/>
      <c r="B8" s="129"/>
      <c r="C8" s="129"/>
      <c r="D8" s="129"/>
      <c r="E8" s="129"/>
      <c r="F8" s="146"/>
      <c r="G8" s="130"/>
      <c r="H8" s="130"/>
      <c r="I8" s="130"/>
      <c r="J8" s="191"/>
      <c r="K8" s="190" t="s">
        <v>49</v>
      </c>
      <c r="L8" s="516" t="s">
        <v>60</v>
      </c>
      <c r="M8" s="516"/>
      <c r="N8" s="517"/>
    </row>
    <row r="9" spans="1:14" ht="16.5" customHeight="1" thickBot="1" x14ac:dyDescent="0.3">
      <c r="A9" s="57"/>
      <c r="B9" s="132" t="s">
        <v>1</v>
      </c>
      <c r="C9" s="132" t="s">
        <v>1</v>
      </c>
      <c r="D9" s="132" t="s">
        <v>1</v>
      </c>
      <c r="E9" s="132" t="s">
        <v>1</v>
      </c>
      <c r="F9" s="147" t="s">
        <v>1</v>
      </c>
      <c r="G9" s="139" t="s">
        <v>1</v>
      </c>
      <c r="H9" s="132" t="s">
        <v>1</v>
      </c>
      <c r="I9" s="132" t="s">
        <v>1</v>
      </c>
      <c r="J9" s="169" t="s">
        <v>1</v>
      </c>
      <c r="K9" s="210" t="s">
        <v>50</v>
      </c>
      <c r="L9" s="139" t="s">
        <v>1</v>
      </c>
      <c r="M9" s="132" t="s">
        <v>1</v>
      </c>
      <c r="N9" s="136" t="s">
        <v>1</v>
      </c>
    </row>
    <row r="10" spans="1:14" ht="16.5" customHeight="1" thickBot="1" x14ac:dyDescent="0.3">
      <c r="A10" s="61" t="s">
        <v>25</v>
      </c>
      <c r="B10" s="62">
        <v>55</v>
      </c>
      <c r="C10" s="62">
        <v>44</v>
      </c>
      <c r="D10" s="62">
        <v>33</v>
      </c>
      <c r="E10" s="62">
        <v>22</v>
      </c>
      <c r="F10" s="148">
        <v>11</v>
      </c>
      <c r="G10" s="63">
        <v>77</v>
      </c>
      <c r="H10" s="63">
        <v>66</v>
      </c>
      <c r="I10" s="63">
        <v>55</v>
      </c>
      <c r="J10" s="204">
        <v>44</v>
      </c>
      <c r="K10" s="211">
        <v>110</v>
      </c>
      <c r="L10" s="63">
        <v>77</v>
      </c>
      <c r="M10" s="63">
        <v>66</v>
      </c>
      <c r="N10" s="64">
        <v>55</v>
      </c>
    </row>
    <row r="11" spans="1:14" ht="16.5" customHeight="1" thickBot="1" x14ac:dyDescent="0.3">
      <c r="A11" s="77" t="s">
        <v>47</v>
      </c>
      <c r="B11" s="87">
        <v>55</v>
      </c>
      <c r="C11" s="87">
        <v>44</v>
      </c>
      <c r="D11" s="87">
        <v>33</v>
      </c>
      <c r="E11" s="87">
        <v>22</v>
      </c>
      <c r="F11" s="149">
        <v>11</v>
      </c>
      <c r="G11" s="88">
        <v>77</v>
      </c>
      <c r="H11" s="88">
        <v>66</v>
      </c>
      <c r="I11" s="88">
        <v>55</v>
      </c>
      <c r="J11" s="90">
        <v>44</v>
      </c>
      <c r="K11" s="212">
        <v>110</v>
      </c>
      <c r="L11" s="88">
        <v>77</v>
      </c>
      <c r="M11" s="88">
        <v>66</v>
      </c>
      <c r="N11" s="89">
        <v>55</v>
      </c>
    </row>
    <row r="12" spans="1:14" ht="16.5" customHeight="1" thickBot="1" x14ac:dyDescent="0.3">
      <c r="A12" s="92" t="s">
        <v>16</v>
      </c>
      <c r="B12" s="94">
        <f>14*5</f>
        <v>70</v>
      </c>
      <c r="C12" s="94">
        <f>14*4</f>
        <v>56</v>
      </c>
      <c r="D12" s="94">
        <f>14*3</f>
        <v>42</v>
      </c>
      <c r="E12" s="94">
        <f>14*2</f>
        <v>28</v>
      </c>
      <c r="F12" s="150">
        <f>14</f>
        <v>14</v>
      </c>
      <c r="G12" s="95">
        <v>98</v>
      </c>
      <c r="H12" s="95">
        <v>84</v>
      </c>
      <c r="I12" s="95">
        <v>70</v>
      </c>
      <c r="J12" s="205">
        <v>56</v>
      </c>
      <c r="K12" s="213">
        <v>140</v>
      </c>
      <c r="L12" s="95">
        <v>98</v>
      </c>
      <c r="M12" s="95">
        <v>84</v>
      </c>
      <c r="N12" s="96">
        <v>70</v>
      </c>
    </row>
    <row r="13" spans="1:14" ht="16.5" customHeight="1" x14ac:dyDescent="0.25">
      <c r="A13" s="101" t="s">
        <v>9</v>
      </c>
      <c r="B13" s="102">
        <f>SUM(B10:B12)</f>
        <v>180</v>
      </c>
      <c r="C13" s="102">
        <f t="shared" ref="C13:F13" si="0">SUM(C10:C12)</f>
        <v>144</v>
      </c>
      <c r="D13" s="102">
        <f t="shared" si="0"/>
        <v>108</v>
      </c>
      <c r="E13" s="102">
        <f t="shared" si="0"/>
        <v>72</v>
      </c>
      <c r="F13" s="151">
        <f t="shared" si="0"/>
        <v>36</v>
      </c>
      <c r="G13" s="140">
        <f>SUM(G10:G12)</f>
        <v>252</v>
      </c>
      <c r="H13" s="140">
        <f>SUM(H10:H12)</f>
        <v>216</v>
      </c>
      <c r="I13" s="140">
        <f t="shared" ref="I13:N13" si="1">SUM(I10:I12)</f>
        <v>180</v>
      </c>
      <c r="J13" s="206">
        <f>SUM(J10:J12)</f>
        <v>144</v>
      </c>
      <c r="K13" s="214">
        <v>360</v>
      </c>
      <c r="L13" s="140">
        <f t="shared" si="1"/>
        <v>252</v>
      </c>
      <c r="M13" s="140">
        <f t="shared" si="1"/>
        <v>216</v>
      </c>
      <c r="N13" s="196">
        <f t="shared" si="1"/>
        <v>180</v>
      </c>
    </row>
    <row r="14" spans="1:14" ht="16.5" customHeight="1" thickBot="1" x14ac:dyDescent="0.3">
      <c r="A14" s="198"/>
      <c r="B14" s="168"/>
      <c r="C14" s="168"/>
      <c r="D14" s="3"/>
      <c r="E14" s="3"/>
      <c r="F14" s="164"/>
      <c r="G14" s="4"/>
      <c r="H14" s="3"/>
      <c r="I14" s="3"/>
      <c r="J14" s="2"/>
      <c r="K14" s="215"/>
      <c r="L14" s="4"/>
      <c r="M14" s="3"/>
      <c r="N14" s="196"/>
    </row>
    <row r="15" spans="1:14" ht="16.5" customHeight="1" thickBot="1" x14ac:dyDescent="0.3">
      <c r="A15" s="199" t="s">
        <v>0</v>
      </c>
      <c r="B15" s="200">
        <v>626.4</v>
      </c>
      <c r="C15" s="200">
        <v>532.79999999999995</v>
      </c>
      <c r="D15" s="201">
        <v>423.36</v>
      </c>
      <c r="E15" s="201">
        <v>297.36</v>
      </c>
      <c r="F15" s="216">
        <v>156.6</v>
      </c>
      <c r="G15" s="241">
        <v>2083.6799999999998</v>
      </c>
      <c r="H15" s="242">
        <v>1982.88</v>
      </c>
      <c r="I15" s="243">
        <v>1756.8</v>
      </c>
      <c r="J15" s="244">
        <v>1530.72</v>
      </c>
      <c r="K15" s="245">
        <v>1252.8</v>
      </c>
      <c r="L15" s="246">
        <v>1457.28</v>
      </c>
      <c r="M15" s="243">
        <v>1356.48</v>
      </c>
      <c r="N15" s="247">
        <v>1130.4000000000001</v>
      </c>
    </row>
    <row r="16" spans="1:14" ht="24" customHeight="1" thickBot="1" x14ac:dyDescent="0.3">
      <c r="A16" s="202" t="s">
        <v>44</v>
      </c>
      <c r="B16" s="203">
        <f t="shared" ref="B16:N16" si="2">B15/B13</f>
        <v>3.48</v>
      </c>
      <c r="C16" s="203">
        <f t="shared" si="2"/>
        <v>3.6999999999999997</v>
      </c>
      <c r="D16" s="203">
        <f t="shared" si="2"/>
        <v>3.92</v>
      </c>
      <c r="E16" s="203">
        <f t="shared" si="2"/>
        <v>4.13</v>
      </c>
      <c r="F16" s="253">
        <f t="shared" si="2"/>
        <v>4.3499999999999996</v>
      </c>
      <c r="G16" s="251">
        <f t="shared" si="2"/>
        <v>8.2685714285714287</v>
      </c>
      <c r="H16" s="248">
        <f t="shared" si="2"/>
        <v>9.18</v>
      </c>
      <c r="I16" s="248">
        <f t="shared" si="2"/>
        <v>9.76</v>
      </c>
      <c r="J16" s="249">
        <f t="shared" si="2"/>
        <v>10.63</v>
      </c>
      <c r="K16" s="250">
        <v>6.96</v>
      </c>
      <c r="L16" s="251">
        <f t="shared" si="2"/>
        <v>5.7828571428571429</v>
      </c>
      <c r="M16" s="248">
        <f t="shared" si="2"/>
        <v>6.28</v>
      </c>
      <c r="N16" s="252">
        <f t="shared" si="2"/>
        <v>6.28</v>
      </c>
    </row>
    <row r="17" spans="1:14" ht="16.5" customHeight="1" x14ac:dyDescent="0.25">
      <c r="A17" s="57" t="s">
        <v>41</v>
      </c>
      <c r="B17" s="29"/>
      <c r="C17" s="29"/>
      <c r="D17" s="29"/>
      <c r="E17" s="29" t="s">
        <v>45</v>
      </c>
      <c r="F17" s="197">
        <v>4.3499999999999996</v>
      </c>
      <c r="G17" s="521" t="s">
        <v>46</v>
      </c>
      <c r="H17" s="521"/>
      <c r="I17" s="521"/>
      <c r="J17" s="197">
        <v>7</v>
      </c>
      <c r="K17" s="197"/>
      <c r="L17" s="29"/>
      <c r="M17" s="29"/>
      <c r="N17" s="135"/>
    </row>
    <row r="18" spans="1:14" ht="16.5" customHeight="1" thickBot="1" x14ac:dyDescent="0.3">
      <c r="A18" s="57"/>
      <c r="B18" s="520"/>
      <c r="C18" s="520"/>
      <c r="D18" s="520"/>
      <c r="E18" s="520"/>
      <c r="F18" s="520"/>
      <c r="G18" s="520"/>
      <c r="H18" s="520"/>
      <c r="I18" s="520"/>
      <c r="J18" s="520"/>
      <c r="K18" s="520"/>
      <c r="L18" s="520"/>
      <c r="M18" s="520"/>
      <c r="N18" s="522"/>
    </row>
    <row r="19" spans="1:14" ht="16.5" customHeight="1" x14ac:dyDescent="0.25">
      <c r="A19" s="258" t="s">
        <v>11</v>
      </c>
      <c r="B19" s="229">
        <f>$B$15*B10/$B$13</f>
        <v>191.4</v>
      </c>
      <c r="C19" s="219">
        <f>$C$15*C10/$C$13</f>
        <v>162.79999999999998</v>
      </c>
      <c r="D19" s="219">
        <f>$D$15*D10/$D$13</f>
        <v>129.36000000000001</v>
      </c>
      <c r="E19" s="219">
        <f>$E$15*E10/$E$13</f>
        <v>90.86</v>
      </c>
      <c r="F19" s="237">
        <f>$F$15*F10/$F$13</f>
        <v>47.849999999999994</v>
      </c>
      <c r="G19" s="229">
        <f>G15/G13*G10</f>
        <v>636.68000000000006</v>
      </c>
      <c r="H19" s="219">
        <f t="shared" ref="H19:K19" si="3">H15/H13*H10</f>
        <v>605.88</v>
      </c>
      <c r="I19" s="219">
        <f t="shared" si="3"/>
        <v>536.79999999999995</v>
      </c>
      <c r="J19" s="225">
        <f t="shared" si="3"/>
        <v>467.72</v>
      </c>
      <c r="K19" s="233">
        <f t="shared" si="3"/>
        <v>382.8</v>
      </c>
      <c r="L19" s="229">
        <f>L22/L13*L10</f>
        <v>445.28000000000003</v>
      </c>
      <c r="M19" s="219">
        <f>M22/M13*M10</f>
        <v>414.48</v>
      </c>
      <c r="N19" s="220">
        <f>N22/N13*N10</f>
        <v>345.40000000000003</v>
      </c>
    </row>
    <row r="20" spans="1:14" ht="16.5" customHeight="1" x14ac:dyDescent="0.25">
      <c r="A20" s="259" t="s">
        <v>12</v>
      </c>
      <c r="B20" s="230">
        <f t="shared" ref="B20" si="4">$B$15*B11/$B$13</f>
        <v>191.4</v>
      </c>
      <c r="C20" s="217">
        <f t="shared" ref="C20" si="5">$C$15*C11/$C$13</f>
        <v>162.79999999999998</v>
      </c>
      <c r="D20" s="217">
        <f t="shared" ref="D20" si="6">$D$15*D11/$D$13</f>
        <v>129.36000000000001</v>
      </c>
      <c r="E20" s="217">
        <f t="shared" ref="E20" si="7">$E$15*E11/$E$13</f>
        <v>90.86</v>
      </c>
      <c r="F20" s="238">
        <f t="shared" ref="F20" si="8">$F$15*F11/$F$13</f>
        <v>47.849999999999994</v>
      </c>
      <c r="G20" s="230">
        <f>G15/G13*G11</f>
        <v>636.68000000000006</v>
      </c>
      <c r="H20" s="217">
        <f t="shared" ref="H20:K20" si="9">H15/H13*H11</f>
        <v>605.88</v>
      </c>
      <c r="I20" s="217">
        <f t="shared" si="9"/>
        <v>536.79999999999995</v>
      </c>
      <c r="J20" s="226">
        <f t="shared" si="9"/>
        <v>467.72</v>
      </c>
      <c r="K20" s="234">
        <f t="shared" si="9"/>
        <v>382.8</v>
      </c>
      <c r="L20" s="230">
        <f>L22/L13*L11</f>
        <v>445.28000000000003</v>
      </c>
      <c r="M20" s="217">
        <f>M22/M13*M11</f>
        <v>414.48</v>
      </c>
      <c r="N20" s="221">
        <f>N22/N13*N11</f>
        <v>345.40000000000003</v>
      </c>
    </row>
    <row r="21" spans="1:14" ht="16.5" customHeight="1" thickBot="1" x14ac:dyDescent="0.3">
      <c r="A21" s="260" t="s">
        <v>10</v>
      </c>
      <c r="B21" s="231">
        <f>$B$15*B12/$B$13</f>
        <v>243.6</v>
      </c>
      <c r="C21" s="218">
        <f>$C$15*C12/$C$13</f>
        <v>207.19999999999996</v>
      </c>
      <c r="D21" s="218">
        <f>$D$15*D12/$D$13</f>
        <v>164.64</v>
      </c>
      <c r="E21" s="218">
        <v>109.2</v>
      </c>
      <c r="F21" s="239">
        <f>$F$15*F12/$F$13</f>
        <v>60.900000000000006</v>
      </c>
      <c r="G21" s="231">
        <f t="shared" ref="G21:K21" si="10">G15/G13*G12</f>
        <v>810.32</v>
      </c>
      <c r="H21" s="218">
        <f t="shared" si="10"/>
        <v>771.12</v>
      </c>
      <c r="I21" s="218">
        <f t="shared" si="10"/>
        <v>683.19999999999993</v>
      </c>
      <c r="J21" s="227">
        <f t="shared" si="10"/>
        <v>595.28000000000009</v>
      </c>
      <c r="K21" s="235">
        <f t="shared" si="10"/>
        <v>487.2</v>
      </c>
      <c r="L21" s="231">
        <f>L22/L13*L12</f>
        <v>566.72</v>
      </c>
      <c r="M21" s="218">
        <f>M22/M13*M12</f>
        <v>527.52</v>
      </c>
      <c r="N21" s="222">
        <f>N22/N13*N12</f>
        <v>439.6</v>
      </c>
    </row>
    <row r="22" spans="1:14" ht="16.5" customHeight="1" thickBot="1" x14ac:dyDescent="0.3">
      <c r="A22" s="123"/>
      <c r="B22" s="232">
        <f>SUM(B19:B21)</f>
        <v>626.4</v>
      </c>
      <c r="C22" s="223">
        <f t="shared" ref="C22:J22" si="11">SUM(C19:C21)</f>
        <v>532.79999999999995</v>
      </c>
      <c r="D22" s="223">
        <f t="shared" si="11"/>
        <v>423.36</v>
      </c>
      <c r="E22" s="223">
        <f t="shared" si="11"/>
        <v>290.92</v>
      </c>
      <c r="F22" s="240">
        <f t="shared" si="11"/>
        <v>156.6</v>
      </c>
      <c r="G22" s="232">
        <f t="shared" si="11"/>
        <v>2083.6800000000003</v>
      </c>
      <c r="H22" s="223">
        <f t="shared" si="11"/>
        <v>1982.88</v>
      </c>
      <c r="I22" s="223">
        <f t="shared" si="11"/>
        <v>1756.7999999999997</v>
      </c>
      <c r="J22" s="228">
        <f t="shared" si="11"/>
        <v>1530.7200000000003</v>
      </c>
      <c r="K22" s="236">
        <f>SUM(K19:K21)</f>
        <v>1252.8</v>
      </c>
      <c r="L22" s="232">
        <v>1457.28</v>
      </c>
      <c r="M22" s="223">
        <v>1356.48</v>
      </c>
      <c r="N22" s="224">
        <v>1130.4000000000001</v>
      </c>
    </row>
    <row r="23" spans="1:14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5" spans="1:14" x14ac:dyDescent="0.25">
      <c r="A25" s="519" t="s">
        <v>58</v>
      </c>
      <c r="B25" s="519"/>
      <c r="C25" s="519"/>
      <c r="D25" s="519"/>
      <c r="E25" s="519"/>
      <c r="F25" s="519"/>
      <c r="G25" s="519"/>
      <c r="H25" s="519"/>
      <c r="I25" s="519"/>
      <c r="J25" s="519"/>
      <c r="K25" s="519"/>
      <c r="L25" s="519"/>
      <c r="M25" s="519"/>
      <c r="N25" s="519"/>
    </row>
    <row r="26" spans="1:14" x14ac:dyDescent="0.25">
      <c r="A26" s="519" t="s">
        <v>54</v>
      </c>
      <c r="B26" s="519"/>
      <c r="C26" s="519"/>
      <c r="D26" s="519"/>
      <c r="E26" s="519"/>
      <c r="F26" s="519"/>
      <c r="G26" s="519"/>
      <c r="H26" s="519"/>
      <c r="I26" s="519"/>
      <c r="J26" s="519"/>
      <c r="K26" s="519"/>
      <c r="L26" s="519"/>
      <c r="M26" s="519"/>
      <c r="N26" s="519"/>
    </row>
    <row r="27" spans="1:14" x14ac:dyDescent="0.25">
      <c r="A27" s="519" t="s">
        <v>55</v>
      </c>
      <c r="B27" s="519"/>
      <c r="C27" s="519"/>
      <c r="D27" s="519"/>
      <c r="E27" s="519"/>
      <c r="F27" s="519"/>
      <c r="G27" s="519"/>
      <c r="H27" s="519"/>
      <c r="I27" s="519"/>
      <c r="J27" s="519"/>
      <c r="K27" s="519"/>
      <c r="L27" s="519"/>
      <c r="M27" s="519"/>
      <c r="N27" s="519"/>
    </row>
    <row r="28" spans="1:14" x14ac:dyDescent="0.25">
      <c r="A28" s="192" t="s">
        <v>56</v>
      </c>
      <c r="L28" s="163"/>
      <c r="N28" s="163"/>
    </row>
    <row r="29" spans="1:14" x14ac:dyDescent="0.25">
      <c r="A29" s="193" t="s">
        <v>57</v>
      </c>
      <c r="B29" s="194">
        <v>2.0499999999999998</v>
      </c>
      <c r="C29" s="194">
        <v>2.1800000000000002</v>
      </c>
      <c r="D29" s="194">
        <v>2.31</v>
      </c>
      <c r="E29" s="194">
        <v>2.38</v>
      </c>
      <c r="F29" s="194">
        <v>2.57</v>
      </c>
      <c r="G29" s="194"/>
      <c r="H29" s="194"/>
      <c r="I29" s="194">
        <v>4.29</v>
      </c>
      <c r="J29" s="194">
        <v>4.68</v>
      </c>
      <c r="K29" s="194">
        <v>3.41</v>
      </c>
      <c r="L29" s="194"/>
      <c r="M29" s="194"/>
      <c r="N29" s="194"/>
    </row>
    <row r="30" spans="1:14" x14ac:dyDescent="0.25">
      <c r="A30" s="193" t="s">
        <v>59</v>
      </c>
    </row>
  </sheetData>
  <mergeCells count="7">
    <mergeCell ref="A27:N27"/>
    <mergeCell ref="A1:N1"/>
    <mergeCell ref="L8:N8"/>
    <mergeCell ref="G17:I17"/>
    <mergeCell ref="B18:N18"/>
    <mergeCell ref="A25:N25"/>
    <mergeCell ref="A26:N26"/>
  </mergeCells>
  <pageMargins left="0.43307086614173229" right="0.39370078740157483" top="0.74803149606299213" bottom="0.74803149606299213" header="0.31496062992125984" footer="0.31496062992125984"/>
  <pageSetup paperSize="9" scale="9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zoomScaleNormal="100" workbookViewId="0">
      <selection activeCell="G15" sqref="G15"/>
    </sheetView>
  </sheetViews>
  <sheetFormatPr baseColWidth="10" defaultRowHeight="15" x14ac:dyDescent="0.25"/>
  <cols>
    <col min="1" max="1" width="18.42578125" style="1" customWidth="1"/>
    <col min="2" max="9" width="8" style="1" bestFit="1" customWidth="1"/>
    <col min="10" max="11" width="8" style="1" customWidth="1"/>
    <col min="12" max="14" width="13.7109375" style="1" bestFit="1" customWidth="1"/>
    <col min="15" max="25" width="11.42578125" style="1"/>
    <col min="26" max="16384" width="11.42578125" style="5"/>
  </cols>
  <sheetData>
    <row r="1" spans="1:14" x14ac:dyDescent="0.25">
      <c r="A1" s="507" t="s">
        <v>62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</row>
    <row r="2" spans="1:14" ht="15.75" thickBot="1" x14ac:dyDescent="0.3"/>
    <row r="3" spans="1:14" x14ac:dyDescent="0.25">
      <c r="A3" s="56"/>
      <c r="B3" s="65"/>
      <c r="C3" s="65"/>
      <c r="D3" s="65"/>
      <c r="E3" s="65"/>
      <c r="F3" s="142"/>
      <c r="G3" s="134"/>
      <c r="H3" s="134"/>
      <c r="I3" s="134"/>
      <c r="J3" s="255"/>
      <c r="K3" s="207"/>
      <c r="L3" s="134"/>
      <c r="M3" s="134"/>
      <c r="N3" s="66"/>
    </row>
    <row r="4" spans="1:14" x14ac:dyDescent="0.25">
      <c r="A4" s="57" t="s">
        <v>43</v>
      </c>
      <c r="B4" s="7">
        <v>36</v>
      </c>
      <c r="C4" s="7">
        <v>36</v>
      </c>
      <c r="D4" s="7">
        <v>36</v>
      </c>
      <c r="E4" s="7">
        <v>36</v>
      </c>
      <c r="F4" s="144">
        <v>36</v>
      </c>
      <c r="G4" s="8">
        <v>36</v>
      </c>
      <c r="H4" s="7">
        <v>36</v>
      </c>
      <c r="I4" s="7">
        <v>36</v>
      </c>
      <c r="J4" s="6">
        <v>36</v>
      </c>
      <c r="K4" s="208">
        <v>36</v>
      </c>
      <c r="L4" s="8">
        <v>36</v>
      </c>
      <c r="M4" s="7">
        <v>36</v>
      </c>
      <c r="N4" s="59">
        <v>36</v>
      </c>
    </row>
    <row r="5" spans="1:14" x14ac:dyDescent="0.25">
      <c r="A5" s="57" t="s">
        <v>9</v>
      </c>
      <c r="B5" s="9">
        <f>B4*5</f>
        <v>180</v>
      </c>
      <c r="C5" s="9">
        <f>C4*4</f>
        <v>144</v>
      </c>
      <c r="D5" s="7">
        <f>D4*3</f>
        <v>108</v>
      </c>
      <c r="E5" s="9">
        <f>E4*2</f>
        <v>72</v>
      </c>
      <c r="F5" s="144">
        <f>F4*1</f>
        <v>36</v>
      </c>
      <c r="G5" s="10">
        <v>252</v>
      </c>
      <c r="H5" s="7">
        <f>H4*6</f>
        <v>216</v>
      </c>
      <c r="I5" s="9">
        <f>I4*5</f>
        <v>180</v>
      </c>
      <c r="J5" s="30">
        <v>144</v>
      </c>
      <c r="K5" s="209">
        <v>180</v>
      </c>
      <c r="L5" s="10">
        <v>252</v>
      </c>
      <c r="M5" s="7">
        <f>M4*6</f>
        <v>216</v>
      </c>
      <c r="N5" s="59">
        <f>N4*5</f>
        <v>180</v>
      </c>
    </row>
    <row r="6" spans="1:14" ht="15.75" thickBot="1" x14ac:dyDescent="0.3">
      <c r="A6" s="57"/>
      <c r="B6" s="7"/>
      <c r="C6" s="7"/>
      <c r="D6" s="7"/>
      <c r="E6" s="7"/>
      <c r="F6" s="143"/>
      <c r="G6" s="8"/>
      <c r="H6" s="8"/>
      <c r="I6" s="8"/>
      <c r="J6" s="257"/>
      <c r="K6" s="208"/>
      <c r="L6" s="8"/>
      <c r="M6" s="8"/>
      <c r="N6" s="58"/>
    </row>
    <row r="7" spans="1:14" ht="16.5" customHeight="1" x14ac:dyDescent="0.25">
      <c r="A7" s="124"/>
      <c r="B7" s="125" t="s">
        <v>3</v>
      </c>
      <c r="C7" s="125" t="s">
        <v>4</v>
      </c>
      <c r="D7" s="125" t="s">
        <v>5</v>
      </c>
      <c r="E7" s="125" t="s">
        <v>6</v>
      </c>
      <c r="F7" s="145" t="s">
        <v>7</v>
      </c>
      <c r="G7" s="126" t="s">
        <v>33</v>
      </c>
      <c r="H7" s="126" t="s">
        <v>32</v>
      </c>
      <c r="I7" s="126" t="s">
        <v>31</v>
      </c>
      <c r="J7" s="188" t="s">
        <v>40</v>
      </c>
      <c r="K7" s="189" t="s">
        <v>48</v>
      </c>
      <c r="L7" s="126" t="s">
        <v>30</v>
      </c>
      <c r="M7" s="126" t="s">
        <v>29</v>
      </c>
      <c r="N7" s="127" t="s">
        <v>34</v>
      </c>
    </row>
    <row r="8" spans="1:14" ht="16.5" customHeight="1" thickBot="1" x14ac:dyDescent="0.3">
      <c r="A8" s="128"/>
      <c r="B8" s="129"/>
      <c r="C8" s="129"/>
      <c r="D8" s="129"/>
      <c r="E8" s="129"/>
      <c r="F8" s="146"/>
      <c r="G8" s="130"/>
      <c r="H8" s="130"/>
      <c r="I8" s="130"/>
      <c r="J8" s="254"/>
      <c r="K8" s="190" t="s">
        <v>49</v>
      </c>
      <c r="L8" s="516" t="s">
        <v>60</v>
      </c>
      <c r="M8" s="516"/>
      <c r="N8" s="517"/>
    </row>
    <row r="9" spans="1:14" ht="16.5" customHeight="1" thickBot="1" x14ac:dyDescent="0.3">
      <c r="A9" s="57"/>
      <c r="B9" s="132" t="s">
        <v>1</v>
      </c>
      <c r="C9" s="132" t="s">
        <v>1</v>
      </c>
      <c r="D9" s="132" t="s">
        <v>1</v>
      </c>
      <c r="E9" s="132" t="s">
        <v>1</v>
      </c>
      <c r="F9" s="147" t="s">
        <v>1</v>
      </c>
      <c r="G9" s="139" t="s">
        <v>1</v>
      </c>
      <c r="H9" s="132" t="s">
        <v>1</v>
      </c>
      <c r="I9" s="132" t="s">
        <v>1</v>
      </c>
      <c r="J9" s="169" t="s">
        <v>1</v>
      </c>
      <c r="K9" s="210" t="s">
        <v>50</v>
      </c>
      <c r="L9" s="139" t="s">
        <v>1</v>
      </c>
      <c r="M9" s="132" t="s">
        <v>1</v>
      </c>
      <c r="N9" s="136" t="s">
        <v>1</v>
      </c>
    </row>
    <row r="10" spans="1:14" ht="16.5" customHeight="1" thickBot="1" x14ac:dyDescent="0.3">
      <c r="A10" s="61" t="s">
        <v>52</v>
      </c>
      <c r="B10" s="62">
        <v>60</v>
      </c>
      <c r="C10" s="62">
        <v>48</v>
      </c>
      <c r="D10" s="62">
        <v>36</v>
      </c>
      <c r="E10" s="62">
        <v>24</v>
      </c>
      <c r="F10" s="148">
        <v>12</v>
      </c>
      <c r="G10" s="63">
        <v>84</v>
      </c>
      <c r="H10" s="63">
        <v>72</v>
      </c>
      <c r="I10" s="63">
        <v>60</v>
      </c>
      <c r="J10" s="204">
        <v>48</v>
      </c>
      <c r="K10" s="211">
        <v>120</v>
      </c>
      <c r="L10" s="63">
        <v>84</v>
      </c>
      <c r="M10" s="63">
        <v>72</v>
      </c>
      <c r="N10" s="64">
        <v>60</v>
      </c>
    </row>
    <row r="11" spans="1:14" ht="16.5" customHeight="1" thickBot="1" x14ac:dyDescent="0.3">
      <c r="A11" s="77" t="s">
        <v>53</v>
      </c>
      <c r="B11" s="87">
        <v>50</v>
      </c>
      <c r="C11" s="87">
        <v>40</v>
      </c>
      <c r="D11" s="87">
        <v>30</v>
      </c>
      <c r="E11" s="87">
        <v>20</v>
      </c>
      <c r="F11" s="149">
        <v>10</v>
      </c>
      <c r="G11" s="88">
        <v>70</v>
      </c>
      <c r="H11" s="88">
        <v>60</v>
      </c>
      <c r="I11" s="88">
        <v>50</v>
      </c>
      <c r="J11" s="90">
        <v>40</v>
      </c>
      <c r="K11" s="212">
        <v>100</v>
      </c>
      <c r="L11" s="88">
        <v>70</v>
      </c>
      <c r="M11" s="88">
        <v>60</v>
      </c>
      <c r="N11" s="89">
        <v>50</v>
      </c>
    </row>
    <row r="12" spans="1:14" ht="16.5" customHeight="1" thickBot="1" x14ac:dyDescent="0.3">
      <c r="A12" s="92" t="s">
        <v>16</v>
      </c>
      <c r="B12" s="94">
        <f>14*5</f>
        <v>70</v>
      </c>
      <c r="C12" s="94">
        <f>14*4</f>
        <v>56</v>
      </c>
      <c r="D12" s="94">
        <f>14*3</f>
        <v>42</v>
      </c>
      <c r="E12" s="94">
        <f>14*2</f>
        <v>28</v>
      </c>
      <c r="F12" s="150">
        <f>14</f>
        <v>14</v>
      </c>
      <c r="G12" s="95">
        <v>98</v>
      </c>
      <c r="H12" s="95">
        <v>84</v>
      </c>
      <c r="I12" s="95">
        <v>70</v>
      </c>
      <c r="J12" s="205">
        <v>56</v>
      </c>
      <c r="K12" s="213">
        <v>140</v>
      </c>
      <c r="L12" s="95">
        <v>98</v>
      </c>
      <c r="M12" s="95">
        <v>84</v>
      </c>
      <c r="N12" s="96">
        <v>70</v>
      </c>
    </row>
    <row r="13" spans="1:14" ht="16.5" customHeight="1" x14ac:dyDescent="0.25">
      <c r="A13" s="101" t="s">
        <v>9</v>
      </c>
      <c r="B13" s="102">
        <f>SUM(B10:B12)</f>
        <v>180</v>
      </c>
      <c r="C13" s="102">
        <f t="shared" ref="C13:F13" si="0">SUM(C10:C12)</f>
        <v>144</v>
      </c>
      <c r="D13" s="102">
        <f t="shared" si="0"/>
        <v>108</v>
      </c>
      <c r="E13" s="102">
        <f t="shared" si="0"/>
        <v>72</v>
      </c>
      <c r="F13" s="151">
        <f t="shared" si="0"/>
        <v>36</v>
      </c>
      <c r="G13" s="140">
        <f>SUM(G10:G12)</f>
        <v>252</v>
      </c>
      <c r="H13" s="140">
        <f>SUM(H10:H12)</f>
        <v>216</v>
      </c>
      <c r="I13" s="140">
        <f t="shared" ref="I13:N13" si="1">SUM(I10:I12)</f>
        <v>180</v>
      </c>
      <c r="J13" s="206">
        <f>SUM(J10:J12)</f>
        <v>144</v>
      </c>
      <c r="K13" s="214">
        <v>360</v>
      </c>
      <c r="L13" s="140">
        <f t="shared" si="1"/>
        <v>252</v>
      </c>
      <c r="M13" s="140">
        <f t="shared" si="1"/>
        <v>216</v>
      </c>
      <c r="N13" s="196">
        <f t="shared" si="1"/>
        <v>180</v>
      </c>
    </row>
    <row r="14" spans="1:14" ht="16.5" customHeight="1" thickBot="1" x14ac:dyDescent="0.3">
      <c r="A14" s="198"/>
      <c r="B14" s="168"/>
      <c r="C14" s="168"/>
      <c r="D14" s="3"/>
      <c r="E14" s="3"/>
      <c r="F14" s="164"/>
      <c r="G14" s="4"/>
      <c r="H14" s="3"/>
      <c r="I14" s="3"/>
      <c r="J14" s="2"/>
      <c r="K14" s="215"/>
      <c r="L14" s="4"/>
      <c r="M14" s="3"/>
      <c r="N14" s="196"/>
    </row>
    <row r="15" spans="1:14" ht="16.5" customHeight="1" thickBot="1" x14ac:dyDescent="0.3">
      <c r="A15" s="199" t="s">
        <v>0</v>
      </c>
      <c r="B15" s="200">
        <v>626.4</v>
      </c>
      <c r="C15" s="200">
        <v>532.79999999999995</v>
      </c>
      <c r="D15" s="201">
        <v>423.36</v>
      </c>
      <c r="E15" s="201">
        <v>297.36</v>
      </c>
      <c r="F15" s="216">
        <v>156.6</v>
      </c>
      <c r="G15" s="241">
        <v>2083.6799999999998</v>
      </c>
      <c r="H15" s="242">
        <v>1982.88</v>
      </c>
      <c r="I15" s="243">
        <v>1756.8</v>
      </c>
      <c r="J15" s="244">
        <v>1530.72</v>
      </c>
      <c r="K15" s="245">
        <v>1252.8</v>
      </c>
      <c r="L15" s="246">
        <v>1457.28</v>
      </c>
      <c r="M15" s="243">
        <v>1356.48</v>
      </c>
      <c r="N15" s="247">
        <v>1130.4000000000001</v>
      </c>
    </row>
    <row r="16" spans="1:14" ht="24" customHeight="1" thickBot="1" x14ac:dyDescent="0.3">
      <c r="A16" s="202" t="s">
        <v>44</v>
      </c>
      <c r="B16" s="203">
        <f t="shared" ref="B16:N16" si="2">B15/B13</f>
        <v>3.48</v>
      </c>
      <c r="C16" s="203">
        <f t="shared" si="2"/>
        <v>3.6999999999999997</v>
      </c>
      <c r="D16" s="203">
        <f t="shared" si="2"/>
        <v>3.92</v>
      </c>
      <c r="E16" s="203">
        <f t="shared" si="2"/>
        <v>4.13</v>
      </c>
      <c r="F16" s="253">
        <f t="shared" si="2"/>
        <v>4.3499999999999996</v>
      </c>
      <c r="G16" s="251">
        <f>G15/G13</f>
        <v>8.2685714285714287</v>
      </c>
      <c r="H16" s="248">
        <f t="shared" si="2"/>
        <v>9.18</v>
      </c>
      <c r="I16" s="248">
        <f t="shared" si="2"/>
        <v>9.76</v>
      </c>
      <c r="J16" s="249">
        <f t="shared" si="2"/>
        <v>10.63</v>
      </c>
      <c r="K16" s="250">
        <v>6.96</v>
      </c>
      <c r="L16" s="251">
        <f t="shared" si="2"/>
        <v>5.7828571428571429</v>
      </c>
      <c r="M16" s="248">
        <f t="shared" si="2"/>
        <v>6.28</v>
      </c>
      <c r="N16" s="252">
        <f t="shared" si="2"/>
        <v>6.28</v>
      </c>
    </row>
    <row r="17" spans="1:14" ht="16.5" customHeight="1" x14ac:dyDescent="0.25">
      <c r="A17" s="57" t="s">
        <v>41</v>
      </c>
      <c r="B17" s="257"/>
      <c r="C17" s="257"/>
      <c r="D17" s="257"/>
      <c r="E17" s="257" t="s">
        <v>45</v>
      </c>
      <c r="F17" s="197">
        <v>4.3499999999999996</v>
      </c>
      <c r="G17" s="521" t="s">
        <v>46</v>
      </c>
      <c r="H17" s="521"/>
      <c r="I17" s="521"/>
      <c r="J17" s="197">
        <v>7</v>
      </c>
      <c r="K17" s="197"/>
      <c r="L17" s="257"/>
      <c r="M17" s="257"/>
      <c r="N17" s="135"/>
    </row>
    <row r="18" spans="1:14" ht="16.5" customHeight="1" thickBot="1" x14ac:dyDescent="0.3">
      <c r="A18" s="57"/>
      <c r="B18" s="520"/>
      <c r="C18" s="520"/>
      <c r="D18" s="520"/>
      <c r="E18" s="520"/>
      <c r="F18" s="520"/>
      <c r="G18" s="520"/>
      <c r="H18" s="520"/>
      <c r="I18" s="520"/>
      <c r="J18" s="520"/>
      <c r="K18" s="520"/>
      <c r="L18" s="520"/>
      <c r="M18" s="520"/>
      <c r="N18" s="522"/>
    </row>
    <row r="19" spans="1:14" ht="16.5" customHeight="1" x14ac:dyDescent="0.25">
      <c r="A19" s="258" t="s">
        <v>11</v>
      </c>
      <c r="B19" s="229">
        <f>$B$15*B10/$B$13</f>
        <v>208.8</v>
      </c>
      <c r="C19" s="219">
        <f>$C$15*C10/$C$13</f>
        <v>177.6</v>
      </c>
      <c r="D19" s="219">
        <f>$D$15*D10/$D$13</f>
        <v>141.12</v>
      </c>
      <c r="E19" s="219">
        <f>$E$15*E10/$E$13</f>
        <v>99.12</v>
      </c>
      <c r="F19" s="237">
        <f>$F$15*F10/$F$13</f>
        <v>52.199999999999996</v>
      </c>
      <c r="G19" s="229">
        <f>G15/G13*G10</f>
        <v>694.56000000000006</v>
      </c>
      <c r="H19" s="219">
        <f t="shared" ref="H19:K19" si="3">H15/H13*H10</f>
        <v>660.96</v>
      </c>
      <c r="I19" s="219">
        <f t="shared" si="3"/>
        <v>585.6</v>
      </c>
      <c r="J19" s="225">
        <f t="shared" si="3"/>
        <v>510.24</v>
      </c>
      <c r="K19" s="233">
        <f t="shared" si="3"/>
        <v>417.6</v>
      </c>
      <c r="L19" s="229">
        <f>L22/L13*L10</f>
        <v>485.76</v>
      </c>
      <c r="M19" s="219">
        <f>M22/M13*M10</f>
        <v>452.16</v>
      </c>
      <c r="N19" s="220">
        <f>N22/N13*N10</f>
        <v>376.8</v>
      </c>
    </row>
    <row r="20" spans="1:14" ht="16.5" customHeight="1" x14ac:dyDescent="0.25">
      <c r="A20" s="259" t="s">
        <v>12</v>
      </c>
      <c r="B20" s="230">
        <f t="shared" ref="B20" si="4">$B$15*B11/$B$13</f>
        <v>174</v>
      </c>
      <c r="C20" s="217">
        <f t="shared" ref="C20" si="5">$C$15*C11/$C$13</f>
        <v>148</v>
      </c>
      <c r="D20" s="217">
        <f t="shared" ref="D20" si="6">$D$15*D11/$D$13</f>
        <v>117.60000000000001</v>
      </c>
      <c r="E20" s="217">
        <f t="shared" ref="E20" si="7">$E$15*E11/$E$13</f>
        <v>82.600000000000009</v>
      </c>
      <c r="F20" s="238">
        <f t="shared" ref="F20" si="8">$F$15*F11/$F$13</f>
        <v>43.5</v>
      </c>
      <c r="G20" s="230">
        <f>G15/G13*G11</f>
        <v>578.79999999999995</v>
      </c>
      <c r="H20" s="217">
        <f t="shared" ref="H20:K20" si="9">H15/H13*H11</f>
        <v>550.79999999999995</v>
      </c>
      <c r="I20" s="217">
        <f t="shared" si="9"/>
        <v>488</v>
      </c>
      <c r="J20" s="226">
        <f t="shared" si="9"/>
        <v>425.20000000000005</v>
      </c>
      <c r="K20" s="234">
        <f t="shared" si="9"/>
        <v>348</v>
      </c>
      <c r="L20" s="230">
        <f>L22/L13*L11</f>
        <v>404.8</v>
      </c>
      <c r="M20" s="217">
        <f>M22/M13*M11</f>
        <v>376.8</v>
      </c>
      <c r="N20" s="221">
        <f>N22/N13*N11</f>
        <v>314</v>
      </c>
    </row>
    <row r="21" spans="1:14" ht="16.5" customHeight="1" thickBot="1" x14ac:dyDescent="0.3">
      <c r="A21" s="260" t="s">
        <v>10</v>
      </c>
      <c r="B21" s="231">
        <f>$B$15*B12/$B$13</f>
        <v>243.6</v>
      </c>
      <c r="C21" s="218">
        <f>$C$15*C12/$C$13</f>
        <v>207.19999999999996</v>
      </c>
      <c r="D21" s="218">
        <f>$D$15*D12/$D$13</f>
        <v>164.64</v>
      </c>
      <c r="E21" s="218">
        <v>109.2</v>
      </c>
      <c r="F21" s="239">
        <f>$F$15*F12/$F$13</f>
        <v>60.900000000000006</v>
      </c>
      <c r="G21" s="231">
        <f t="shared" ref="G21:K21" si="10">G15/G13*G12</f>
        <v>810.32</v>
      </c>
      <c r="H21" s="218">
        <f t="shared" si="10"/>
        <v>771.12</v>
      </c>
      <c r="I21" s="218">
        <f t="shared" si="10"/>
        <v>683.19999999999993</v>
      </c>
      <c r="J21" s="227">
        <f t="shared" si="10"/>
        <v>595.28000000000009</v>
      </c>
      <c r="K21" s="235">
        <f t="shared" si="10"/>
        <v>487.2</v>
      </c>
      <c r="L21" s="231">
        <f>L22/L13*L12</f>
        <v>566.72</v>
      </c>
      <c r="M21" s="218">
        <f>M22/M13*M12</f>
        <v>527.52</v>
      </c>
      <c r="N21" s="222">
        <f>N22/N13*N12</f>
        <v>439.6</v>
      </c>
    </row>
    <row r="22" spans="1:14" ht="16.5" customHeight="1" thickBot="1" x14ac:dyDescent="0.3">
      <c r="A22" s="123"/>
      <c r="B22" s="232">
        <f>SUM(B19:B21)</f>
        <v>626.4</v>
      </c>
      <c r="C22" s="223">
        <f t="shared" ref="C22:J22" si="11">SUM(C19:C21)</f>
        <v>532.79999999999995</v>
      </c>
      <c r="D22" s="223">
        <f t="shared" si="11"/>
        <v>423.36</v>
      </c>
      <c r="E22" s="223">
        <f t="shared" si="11"/>
        <v>290.92</v>
      </c>
      <c r="F22" s="240">
        <f t="shared" si="11"/>
        <v>156.6</v>
      </c>
      <c r="G22" s="232">
        <f t="shared" si="11"/>
        <v>2083.6800000000003</v>
      </c>
      <c r="H22" s="223">
        <f t="shared" si="11"/>
        <v>1982.88</v>
      </c>
      <c r="I22" s="223">
        <f t="shared" si="11"/>
        <v>1756.7999999999997</v>
      </c>
      <c r="J22" s="228">
        <f t="shared" si="11"/>
        <v>1530.7200000000003</v>
      </c>
      <c r="K22" s="236">
        <f>SUM(K19:K21)</f>
        <v>1252.8</v>
      </c>
      <c r="L22" s="232">
        <v>1457.28</v>
      </c>
      <c r="M22" s="223">
        <v>1356.48</v>
      </c>
      <c r="N22" s="224">
        <v>1130.4000000000001</v>
      </c>
    </row>
    <row r="23" spans="1:14" x14ac:dyDescent="0.25">
      <c r="A23" s="257"/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</row>
    <row r="25" spans="1:14" x14ac:dyDescent="0.25">
      <c r="A25" s="519" t="s">
        <v>58</v>
      </c>
      <c r="B25" s="519"/>
      <c r="C25" s="519"/>
      <c r="D25" s="519"/>
      <c r="E25" s="519"/>
      <c r="F25" s="519"/>
      <c r="G25" s="519"/>
      <c r="H25" s="519"/>
      <c r="I25" s="519"/>
      <c r="J25" s="519"/>
      <c r="K25" s="519"/>
      <c r="L25" s="519"/>
      <c r="M25" s="519"/>
      <c r="N25" s="519"/>
    </row>
    <row r="26" spans="1:14" x14ac:dyDescent="0.25">
      <c r="A26" s="519" t="s">
        <v>54</v>
      </c>
      <c r="B26" s="519"/>
      <c r="C26" s="519"/>
      <c r="D26" s="519"/>
      <c r="E26" s="519"/>
      <c r="F26" s="519"/>
      <c r="G26" s="519"/>
      <c r="H26" s="519"/>
      <c r="I26" s="519"/>
      <c r="J26" s="519"/>
      <c r="K26" s="519"/>
      <c r="L26" s="519"/>
      <c r="M26" s="519"/>
      <c r="N26" s="519"/>
    </row>
    <row r="27" spans="1:14" x14ac:dyDescent="0.25">
      <c r="A27" s="519" t="s">
        <v>55</v>
      </c>
      <c r="B27" s="519"/>
      <c r="C27" s="519"/>
      <c r="D27" s="519"/>
      <c r="E27" s="519"/>
      <c r="F27" s="519"/>
      <c r="G27" s="519"/>
      <c r="H27" s="519"/>
      <c r="I27" s="519"/>
      <c r="J27" s="519"/>
      <c r="K27" s="519"/>
      <c r="L27" s="519"/>
      <c r="M27" s="519"/>
      <c r="N27" s="519"/>
    </row>
    <row r="28" spans="1:14" x14ac:dyDescent="0.25">
      <c r="A28" s="256" t="s">
        <v>56</v>
      </c>
      <c r="L28" s="163"/>
      <c r="N28" s="163"/>
    </row>
    <row r="29" spans="1:14" x14ac:dyDescent="0.25">
      <c r="A29" s="193" t="s">
        <v>57</v>
      </c>
      <c r="B29" s="194">
        <v>2.0499999999999998</v>
      </c>
      <c r="C29" s="194">
        <v>2.1800000000000002</v>
      </c>
      <c r="D29" s="194">
        <v>2.31</v>
      </c>
      <c r="E29" s="194">
        <v>2.38</v>
      </c>
      <c r="F29" s="194">
        <v>2.57</v>
      </c>
      <c r="G29" s="194"/>
      <c r="H29" s="194"/>
      <c r="I29" s="194">
        <v>4.29</v>
      </c>
      <c r="J29" s="194">
        <v>4.68</v>
      </c>
      <c r="K29" s="194">
        <v>3.41</v>
      </c>
      <c r="L29" s="194"/>
      <c r="M29" s="194"/>
      <c r="N29" s="194"/>
    </row>
    <row r="30" spans="1:14" x14ac:dyDescent="0.25">
      <c r="A30" s="193" t="s">
        <v>59</v>
      </c>
    </row>
  </sheetData>
  <mergeCells count="7">
    <mergeCell ref="A27:N27"/>
    <mergeCell ref="A1:N1"/>
    <mergeCell ref="L8:N8"/>
    <mergeCell ref="G17:I17"/>
    <mergeCell ref="B18:N18"/>
    <mergeCell ref="A25:N25"/>
    <mergeCell ref="A26:N26"/>
  </mergeCells>
  <pageMargins left="0.43307086614173229" right="0.39370078740157483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2</vt:i4>
      </vt:variant>
    </vt:vector>
  </HeadingPairs>
  <TitlesOfParts>
    <vt:vector size="15" baseType="lpstr">
      <vt:lpstr>tarifs 2012</vt:lpstr>
      <vt:lpstr>tarifs 2013</vt:lpstr>
      <vt:lpstr>tarifs 2016</vt:lpstr>
      <vt:lpstr>tarifs 2017</vt:lpstr>
      <vt:lpstr>tarifs 2018</vt:lpstr>
      <vt:lpstr>tarifs 2019</vt:lpstr>
      <vt:lpstr>tarifs 2020 (2)</vt:lpstr>
      <vt:lpstr>tarifs 2021 (3)</vt:lpstr>
      <vt:lpstr>tarifs 2022</vt:lpstr>
      <vt:lpstr>tarifs 2023</vt:lpstr>
      <vt:lpstr>tarifs 2023 corrigés</vt:lpstr>
      <vt:lpstr>tarifs 2023-2024</vt:lpstr>
      <vt:lpstr>tarifs 2024-2025</vt:lpstr>
      <vt:lpstr>'tarifs 2023-2024'!Zone_d_impression</vt:lpstr>
      <vt:lpstr>'tarifs 2024-2025'!Zone_d_impression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cniclas</dc:creator>
  <cp:lastModifiedBy>bmarton</cp:lastModifiedBy>
  <cp:lastPrinted>2024-05-30T09:27:38Z</cp:lastPrinted>
  <dcterms:created xsi:type="dcterms:W3CDTF">2010-10-15T13:48:49Z</dcterms:created>
  <dcterms:modified xsi:type="dcterms:W3CDTF">2024-05-30T09:29:16Z</dcterms:modified>
</cp:coreProperties>
</file>